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1 Annual Update\Transco_OKTCo_SWTCo\Filed Documents 5-24-21\"/>
    </mc:Choice>
  </mc:AlternateContent>
  <bookViews>
    <workbookView xWindow="15000" yWindow="20" windowWidth="13320" windowHeight="13170" activeTab="1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Summary!$C$1:$K$39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62913"/>
  <pivotCaches>
    <pivotCache cacheId="176" r:id="rId5"/>
  </pivotCaches>
</workbook>
</file>

<file path=xl/calcChain.xml><?xml version="1.0" encoding="utf-8"?>
<calcChain xmlns="http://schemas.openxmlformats.org/spreadsheetml/2006/main">
  <c r="C5" i="29" l="1"/>
  <c r="J38" i="29" l="1"/>
  <c r="J34" i="29"/>
  <c r="J39" i="29" l="1"/>
  <c r="L3" i="18" l="1"/>
  <c r="H209" i="18"/>
  <c r="H23" i="18" l="1"/>
  <c r="H27" i="18"/>
  <c r="H31" i="18"/>
  <c r="H35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H211" i="18"/>
  <c r="H30" i="18"/>
  <c r="H34" i="18"/>
  <c r="H38" i="18"/>
  <c r="H50" i="18"/>
  <c r="H58" i="18"/>
  <c r="H66" i="18"/>
  <c r="H78" i="18"/>
  <c r="H86" i="18"/>
  <c r="H94" i="18"/>
  <c r="H106" i="18"/>
  <c r="H114" i="18"/>
  <c r="H122" i="18"/>
  <c r="H134" i="18"/>
  <c r="H142" i="18"/>
  <c r="H150" i="18"/>
  <c r="H154" i="18"/>
  <c r="H166" i="18"/>
  <c r="H178" i="18"/>
  <c r="H186" i="18"/>
  <c r="H206" i="18"/>
  <c r="H20" i="18"/>
  <c r="H24" i="18"/>
  <c r="H28" i="18"/>
  <c r="H32" i="18"/>
  <c r="H36" i="18"/>
  <c r="H40" i="18"/>
  <c r="H44" i="18"/>
  <c r="H48" i="18"/>
  <c r="H52" i="18"/>
  <c r="H56" i="18"/>
  <c r="H60" i="18"/>
  <c r="H64" i="18"/>
  <c r="H68" i="18"/>
  <c r="H72" i="18"/>
  <c r="H76" i="18"/>
  <c r="H80" i="18"/>
  <c r="H84" i="18"/>
  <c r="H88" i="18"/>
  <c r="H92" i="18"/>
  <c r="H96" i="18"/>
  <c r="H100" i="18"/>
  <c r="H104" i="18"/>
  <c r="H108" i="18"/>
  <c r="H112" i="18"/>
  <c r="H116" i="18"/>
  <c r="H120" i="18"/>
  <c r="H124" i="18"/>
  <c r="H128" i="18"/>
  <c r="H132" i="18"/>
  <c r="H136" i="18"/>
  <c r="H140" i="18"/>
  <c r="H144" i="18"/>
  <c r="H148" i="18"/>
  <c r="H152" i="18"/>
  <c r="H156" i="18"/>
  <c r="H160" i="18"/>
  <c r="H164" i="18"/>
  <c r="H168" i="18"/>
  <c r="H172" i="18"/>
  <c r="H176" i="18"/>
  <c r="H180" i="18"/>
  <c r="H184" i="18"/>
  <c r="H188" i="18"/>
  <c r="H192" i="18"/>
  <c r="H196" i="18"/>
  <c r="H200" i="18"/>
  <c r="H204" i="18"/>
  <c r="H208" i="18"/>
  <c r="H22" i="18"/>
  <c r="H26" i="18"/>
  <c r="H42" i="18"/>
  <c r="H46" i="18"/>
  <c r="H54" i="18"/>
  <c r="H62" i="18"/>
  <c r="H70" i="18"/>
  <c r="H74" i="18"/>
  <c r="H82" i="18"/>
  <c r="H90" i="18"/>
  <c r="H98" i="18"/>
  <c r="H102" i="18"/>
  <c r="H110" i="18"/>
  <c r="H118" i="18"/>
  <c r="H126" i="18"/>
  <c r="H130" i="18"/>
  <c r="H138" i="18"/>
  <c r="H146" i="18"/>
  <c r="H158" i="18"/>
  <c r="H162" i="18"/>
  <c r="H170" i="18"/>
  <c r="H174" i="18"/>
  <c r="H182" i="18"/>
  <c r="H190" i="18"/>
  <c r="H194" i="18"/>
  <c r="H198" i="18"/>
  <c r="H202" i="18"/>
  <c r="H210" i="18"/>
  <c r="H21" i="18"/>
  <c r="H25" i="18"/>
  <c r="H29" i="18"/>
  <c r="H33" i="18"/>
  <c r="H37" i="18"/>
  <c r="H41" i="18"/>
  <c r="H45" i="18"/>
  <c r="H49" i="18"/>
  <c r="H53" i="18"/>
  <c r="H57" i="18"/>
  <c r="H61" i="18"/>
  <c r="H65" i="18"/>
  <c r="H69" i="18"/>
  <c r="H73" i="18"/>
  <c r="H77" i="18"/>
  <c r="H81" i="18"/>
  <c r="H85" i="18"/>
  <c r="H89" i="18"/>
  <c r="H93" i="18"/>
  <c r="H97" i="18"/>
  <c r="H101" i="18"/>
  <c r="H105" i="18"/>
  <c r="H109" i="18"/>
  <c r="H113" i="18"/>
  <c r="H117" i="18"/>
  <c r="H121" i="18"/>
  <c r="H125" i="18"/>
  <c r="H129" i="18"/>
  <c r="H133" i="18"/>
  <c r="H137" i="18"/>
  <c r="H141" i="18"/>
  <c r="H145" i="18"/>
  <c r="H149" i="18"/>
  <c r="H153" i="18"/>
  <c r="H157" i="18"/>
  <c r="H161" i="18"/>
  <c r="H165" i="18"/>
  <c r="H169" i="18"/>
  <c r="H173" i="18"/>
  <c r="H177" i="18"/>
  <c r="H181" i="18"/>
  <c r="H185" i="18"/>
  <c r="H189" i="18"/>
  <c r="H193" i="18"/>
  <c r="H197" i="18"/>
  <c r="H201" i="18"/>
  <c r="H205" i="18"/>
  <c r="K1" i="18" l="1"/>
  <c r="O13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D38" i="18"/>
  <c r="D50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B31" i="18"/>
  <c r="D42" i="18"/>
  <c r="B30" i="18"/>
  <c r="D41" i="18"/>
  <c r="D65" i="18" s="1"/>
  <c r="B29" i="18"/>
  <c r="B28" i="18"/>
  <c r="C39" i="18"/>
  <c r="D39" i="18"/>
  <c r="B27" i="18"/>
  <c r="B26" i="18"/>
  <c r="B25" i="18"/>
  <c r="B24" i="18"/>
  <c r="B23" i="18"/>
  <c r="B22" i="18"/>
  <c r="B21" i="18"/>
  <c r="D32" i="18"/>
  <c r="D44" i="18"/>
  <c r="B16" i="18"/>
  <c r="J1" i="18"/>
  <c r="C43" i="18"/>
  <c r="C55" i="18"/>
  <c r="B175" i="18"/>
  <c r="B174" i="18"/>
  <c r="B173" i="18"/>
  <c r="B172" i="18"/>
  <c r="B171" i="18"/>
  <c r="C38" i="18"/>
  <c r="B170" i="18"/>
  <c r="C37" i="18"/>
  <c r="C49" i="18" s="1"/>
  <c r="B169" i="18"/>
  <c r="B168" i="18"/>
  <c r="B167" i="18"/>
  <c r="B166" i="18"/>
  <c r="C33" i="18"/>
  <c r="C45" i="18" s="1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1" i="18"/>
  <c r="C65" i="18" s="1"/>
  <c r="D36" i="18"/>
  <c r="D48" i="18" s="1"/>
  <c r="C36" i="18"/>
  <c r="C60" i="18" s="1"/>
  <c r="C48" i="18"/>
  <c r="C40" i="18"/>
  <c r="C52" i="18" s="1"/>
  <c r="D56" i="18"/>
  <c r="D68" i="18" s="1"/>
  <c r="C67" i="18"/>
  <c r="C79" i="18" s="1"/>
  <c r="D35" i="18"/>
  <c r="D47" i="18"/>
  <c r="D59" i="18"/>
  <c r="D71" i="18"/>
  <c r="D37" i="18"/>
  <c r="D61" i="18" s="1"/>
  <c r="D40" i="18"/>
  <c r="D64" i="18" s="1"/>
  <c r="D76" i="18" s="1"/>
  <c r="D33" i="18"/>
  <c r="D45" i="18" s="1"/>
  <c r="D34" i="18"/>
  <c r="D58" i="18" s="1"/>
  <c r="C54" i="18"/>
  <c r="C66" i="18"/>
  <c r="D49" i="18"/>
  <c r="D53" i="18"/>
  <c r="C64" i="18"/>
  <c r="C88" i="18" s="1"/>
  <c r="C100" i="18" s="1"/>
  <c r="C112" i="18" s="1"/>
  <c r="C124" i="18" s="1"/>
  <c r="C136" i="18" s="1"/>
  <c r="C148" i="18" s="1"/>
  <c r="C160" i="18" s="1"/>
  <c r="C51" i="18"/>
  <c r="C63" i="18"/>
  <c r="C44" i="18"/>
  <c r="C56" i="18"/>
  <c r="C68" i="18" s="1"/>
  <c r="C46" i="18"/>
  <c r="C58" i="18"/>
  <c r="D83" i="18"/>
  <c r="D95" i="18" s="1"/>
  <c r="D107" i="18" s="1"/>
  <c r="D119" i="18" s="1"/>
  <c r="D131" i="18" s="1"/>
  <c r="D143" i="18" s="1"/>
  <c r="D155" i="18" s="1"/>
  <c r="D52" i="18"/>
  <c r="C57" i="18"/>
  <c r="C81" i="18" s="1"/>
  <c r="C93" i="18" s="1"/>
  <c r="C105" i="18" s="1"/>
  <c r="C117" i="18" s="1"/>
  <c r="C129" i="18" s="1"/>
  <c r="C141" i="18" s="1"/>
  <c r="C153" i="18" s="1"/>
  <c r="C82" i="18"/>
  <c r="C94" i="18" s="1"/>
  <c r="C106" i="18" s="1"/>
  <c r="C118" i="18" s="1"/>
  <c r="C130" i="18" s="1"/>
  <c r="C142" i="18" s="1"/>
  <c r="C154" i="18" s="1"/>
  <c r="C70" i="18"/>
  <c r="C75" i="18"/>
  <c r="C87" i="18"/>
  <c r="C99" i="18"/>
  <c r="C111" i="18" s="1"/>
  <c r="C123" i="18" s="1"/>
  <c r="C135" i="18" s="1"/>
  <c r="C147" i="18" s="1"/>
  <c r="C159" i="18" s="1"/>
  <c r="C69" i="18"/>
  <c r="H31" i="29"/>
  <c r="D25" i="29"/>
  <c r="E33" i="29"/>
  <c r="D28" i="29"/>
  <c r="G28" i="29"/>
  <c r="H35" i="29"/>
  <c r="D33" i="29"/>
  <c r="G31" i="29"/>
  <c r="E30" i="29"/>
  <c r="E37" i="29"/>
  <c r="E35" i="29"/>
  <c r="G37" i="29"/>
  <c r="G26" i="29"/>
  <c r="H26" i="29"/>
  <c r="D30" i="29"/>
  <c r="E22" i="29"/>
  <c r="D32" i="29"/>
  <c r="D26" i="29"/>
  <c r="G29" i="29"/>
  <c r="D36" i="29"/>
  <c r="G30" i="29"/>
  <c r="E36" i="29"/>
  <c r="D21" i="29"/>
  <c r="D27" i="29"/>
  <c r="H21" i="29"/>
  <c r="G35" i="29"/>
  <c r="E32" i="29"/>
  <c r="H23" i="29"/>
  <c r="H29" i="29"/>
  <c r="G27" i="29"/>
  <c r="D22" i="29"/>
  <c r="H28" i="29"/>
  <c r="H36" i="29"/>
  <c r="D23" i="29"/>
  <c r="H25" i="29"/>
  <c r="H37" i="29"/>
  <c r="E25" i="29"/>
  <c r="G36" i="29"/>
  <c r="E21" i="29"/>
  <c r="H30" i="29"/>
  <c r="G33" i="29"/>
  <c r="E31" i="29"/>
  <c r="H32" i="29"/>
  <c r="G25" i="29"/>
  <c r="G23" i="29"/>
  <c r="D29" i="29"/>
  <c r="E23" i="29"/>
  <c r="G21" i="29"/>
  <c r="E24" i="29"/>
  <c r="D24" i="29"/>
  <c r="E28" i="29"/>
  <c r="H27" i="29"/>
  <c r="H24" i="29"/>
  <c r="H33" i="29"/>
  <c r="G32" i="29"/>
  <c r="D31" i="29"/>
  <c r="E26" i="29"/>
  <c r="D35" i="29"/>
  <c r="E27" i="29"/>
  <c r="G22" i="29"/>
  <c r="H22" i="29"/>
  <c r="D37" i="29"/>
  <c r="E29" i="29"/>
  <c r="G24" i="29"/>
  <c r="D60" i="18" l="1"/>
  <c r="C76" i="18"/>
  <c r="D62" i="18"/>
  <c r="D86" i="18" s="1"/>
  <c r="D98" i="18" s="1"/>
  <c r="D110" i="18" s="1"/>
  <c r="D122" i="18" s="1"/>
  <c r="D134" i="18" s="1"/>
  <c r="D146" i="18" s="1"/>
  <c r="D158" i="18" s="1"/>
  <c r="D182" i="18" s="1"/>
  <c r="D194" i="18" s="1"/>
  <c r="D206" i="18" s="1"/>
  <c r="C61" i="18"/>
  <c r="C73" i="18" s="1"/>
  <c r="D57" i="18"/>
  <c r="D46" i="18"/>
  <c r="D80" i="18"/>
  <c r="D92" i="18" s="1"/>
  <c r="D104" i="18" s="1"/>
  <c r="D116" i="18" s="1"/>
  <c r="D128" i="18" s="1"/>
  <c r="D140" i="18" s="1"/>
  <c r="D152" i="18" s="1"/>
  <c r="D164" i="18" s="1"/>
  <c r="C171" i="18"/>
  <c r="C183" i="18"/>
  <c r="C195" i="18" s="1"/>
  <c r="C207" i="18" s="1"/>
  <c r="D85" i="18"/>
  <c r="D97" i="18" s="1"/>
  <c r="D109" i="18" s="1"/>
  <c r="D121" i="18" s="1"/>
  <c r="D133" i="18" s="1"/>
  <c r="D145" i="18" s="1"/>
  <c r="D157" i="18" s="1"/>
  <c r="D181" i="18" s="1"/>
  <c r="D193" i="18" s="1"/>
  <c r="D205" i="18" s="1"/>
  <c r="D73" i="18"/>
  <c r="D70" i="18"/>
  <c r="D82" i="18"/>
  <c r="D94" i="18" s="1"/>
  <c r="D106" i="18" s="1"/>
  <c r="D118" i="18" s="1"/>
  <c r="D130" i="18" s="1"/>
  <c r="D142" i="18" s="1"/>
  <c r="D154" i="18" s="1"/>
  <c r="D166" i="18" s="1"/>
  <c r="C72" i="18"/>
  <c r="C84" i="18"/>
  <c r="C96" i="18" s="1"/>
  <c r="C108" i="18" s="1"/>
  <c r="C120" i="18" s="1"/>
  <c r="C132" i="18" s="1"/>
  <c r="C144" i="18" s="1"/>
  <c r="C156" i="18" s="1"/>
  <c r="D175" i="18"/>
  <c r="D187" i="18"/>
  <c r="D199" i="18" s="1"/>
  <c r="D211" i="18" s="1"/>
  <c r="C166" i="18"/>
  <c r="C178" i="18"/>
  <c r="C190" i="18" s="1"/>
  <c r="C202" i="18" s="1"/>
  <c r="C184" i="18"/>
  <c r="C196" i="18" s="1"/>
  <c r="C208" i="18" s="1"/>
  <c r="C172" i="18"/>
  <c r="C80" i="18"/>
  <c r="C92" i="18" s="1"/>
  <c r="C104" i="18" s="1"/>
  <c r="C116" i="18" s="1"/>
  <c r="C128" i="18" s="1"/>
  <c r="C140" i="18" s="1"/>
  <c r="C152" i="18" s="1"/>
  <c r="C176" i="18" s="1"/>
  <c r="C188" i="18" s="1"/>
  <c r="C200" i="18" s="1"/>
  <c r="C85" i="18"/>
  <c r="C97" i="18" s="1"/>
  <c r="C109" i="18" s="1"/>
  <c r="C121" i="18" s="1"/>
  <c r="C133" i="18" s="1"/>
  <c r="C145" i="18" s="1"/>
  <c r="C157" i="18" s="1"/>
  <c r="D88" i="18"/>
  <c r="D100" i="18" s="1"/>
  <c r="D112" i="18" s="1"/>
  <c r="D124" i="18" s="1"/>
  <c r="D136" i="18" s="1"/>
  <c r="D148" i="18" s="1"/>
  <c r="D160" i="18" s="1"/>
  <c r="D55" i="18"/>
  <c r="D79" i="18"/>
  <c r="C53" i="18"/>
  <c r="F32" i="29"/>
  <c r="I32" i="29" s="1"/>
  <c r="K32" i="29" s="1"/>
  <c r="F23" i="29"/>
  <c r="I23" i="29" s="1"/>
  <c r="K23" i="29" s="1"/>
  <c r="H38" i="29"/>
  <c r="F31" i="29"/>
  <c r="I31" i="29" s="1"/>
  <c r="K31" i="29" s="1"/>
  <c r="F36" i="29"/>
  <c r="I36" i="29" s="1"/>
  <c r="K36" i="29" s="1"/>
  <c r="F30" i="29"/>
  <c r="I30" i="29" s="1"/>
  <c r="K30" i="29" s="1"/>
  <c r="F35" i="29"/>
  <c r="D38" i="29"/>
  <c r="H34" i="29"/>
  <c r="F21" i="29"/>
  <c r="D34" i="29"/>
  <c r="G34" i="29"/>
  <c r="F26" i="29"/>
  <c r="I26" i="29" s="1"/>
  <c r="K26" i="29" s="1"/>
  <c r="G38" i="29"/>
  <c r="F22" i="29"/>
  <c r="I22" i="29" s="1"/>
  <c r="K22" i="29" s="1"/>
  <c r="F28" i="29"/>
  <c r="I28" i="29" s="1"/>
  <c r="K28" i="29" s="1"/>
  <c r="F25" i="29"/>
  <c r="I25" i="29" s="1"/>
  <c r="K25" i="29" s="1"/>
  <c r="F24" i="29"/>
  <c r="I24" i="29" s="1"/>
  <c r="K24" i="29" s="1"/>
  <c r="F29" i="29"/>
  <c r="I29" i="29" s="1"/>
  <c r="K29" i="29" s="1"/>
  <c r="E34" i="29"/>
  <c r="F37" i="29"/>
  <c r="I37" i="29" s="1"/>
  <c r="K37" i="29" s="1"/>
  <c r="F27" i="29"/>
  <c r="I27" i="29" s="1"/>
  <c r="K27" i="29" s="1"/>
  <c r="F33" i="29"/>
  <c r="I33" i="29" s="1"/>
  <c r="K33" i="29" s="1"/>
  <c r="E38" i="29"/>
  <c r="C177" i="18"/>
  <c r="C189" i="18" s="1"/>
  <c r="C201" i="18" s="1"/>
  <c r="C165" i="18"/>
  <c r="D170" i="18"/>
  <c r="D179" i="18"/>
  <c r="D191" i="18" s="1"/>
  <c r="D203" i="18" s="1"/>
  <c r="D167" i="18"/>
  <c r="G212" i="18"/>
  <c r="D176" i="18"/>
  <c r="D188" i="18" s="1"/>
  <c r="D200" i="18" s="1"/>
  <c r="D184" i="18"/>
  <c r="D196" i="18" s="1"/>
  <c r="D208" i="18" s="1"/>
  <c r="D172" i="18"/>
  <c r="D169" i="18"/>
  <c r="C168" i="18"/>
  <c r="C180" i="18"/>
  <c r="C192" i="18" s="1"/>
  <c r="C204" i="18" s="1"/>
  <c r="C47" i="18"/>
  <c r="C59" i="18"/>
  <c r="C62" i="18"/>
  <c r="C50" i="18"/>
  <c r="E10" i="29"/>
  <c r="D20" i="29"/>
  <c r="E20" i="29"/>
  <c r="C3" i="29"/>
  <c r="F10" i="29"/>
  <c r="C78" i="18"/>
  <c r="C90" i="18"/>
  <c r="C102" i="18" s="1"/>
  <c r="C114" i="18" s="1"/>
  <c r="C126" i="18" s="1"/>
  <c r="C138" i="18" s="1"/>
  <c r="C150" i="18" s="1"/>
  <c r="C162" i="18" s="1"/>
  <c r="C89" i="18"/>
  <c r="C101" i="18" s="1"/>
  <c r="C113" i="18" s="1"/>
  <c r="C125" i="18" s="1"/>
  <c r="C137" i="18" s="1"/>
  <c r="C149" i="18" s="1"/>
  <c r="C161" i="18" s="1"/>
  <c r="C77" i="18"/>
  <c r="D54" i="18"/>
  <c r="D66" i="18"/>
  <c r="D51" i="18"/>
  <c r="D63" i="18"/>
  <c r="D77" i="18"/>
  <c r="D89" i="18"/>
  <c r="D101" i="18" s="1"/>
  <c r="D113" i="18" s="1"/>
  <c r="D125" i="18" s="1"/>
  <c r="D137" i="18" s="1"/>
  <c r="D149" i="18" s="1"/>
  <c r="D161" i="18" s="1"/>
  <c r="O14" i="18"/>
  <c r="C91" i="18"/>
  <c r="C103" i="18" s="1"/>
  <c r="C115" i="18" s="1"/>
  <c r="C127" i="18" s="1"/>
  <c r="C139" i="18" s="1"/>
  <c r="C151" i="18" s="1"/>
  <c r="C163" i="18" s="1"/>
  <c r="D74" i="18" l="1"/>
  <c r="D69" i="18"/>
  <c r="D81" i="18"/>
  <c r="D93" i="18" s="1"/>
  <c r="D105" i="18" s="1"/>
  <c r="D117" i="18" s="1"/>
  <c r="D129" i="18" s="1"/>
  <c r="D141" i="18" s="1"/>
  <c r="D153" i="18" s="1"/>
  <c r="D72" i="18"/>
  <c r="D84" i="18"/>
  <c r="D96" i="18" s="1"/>
  <c r="D108" i="18" s="1"/>
  <c r="D120" i="18" s="1"/>
  <c r="D132" i="18" s="1"/>
  <c r="D144" i="18" s="1"/>
  <c r="D156" i="18" s="1"/>
  <c r="E39" i="29"/>
  <c r="G39" i="29"/>
  <c r="D178" i="18"/>
  <c r="D190" i="18" s="1"/>
  <c r="D202" i="18" s="1"/>
  <c r="C164" i="18"/>
  <c r="C181" i="18"/>
  <c r="C193" i="18" s="1"/>
  <c r="C205" i="18" s="1"/>
  <c r="C169" i="18"/>
  <c r="D87" i="18"/>
  <c r="D99" i="18" s="1"/>
  <c r="D111" i="18" s="1"/>
  <c r="D123" i="18" s="1"/>
  <c r="D135" i="18" s="1"/>
  <c r="D147" i="18" s="1"/>
  <c r="D159" i="18" s="1"/>
  <c r="D75" i="18"/>
  <c r="D39" i="29"/>
  <c r="D173" i="18"/>
  <c r="D185" i="18"/>
  <c r="D197" i="18" s="1"/>
  <c r="D209" i="18" s="1"/>
  <c r="D78" i="18"/>
  <c r="D90" i="18"/>
  <c r="D102" i="18" s="1"/>
  <c r="D114" i="18" s="1"/>
  <c r="D126" i="18" s="1"/>
  <c r="D138" i="18" s="1"/>
  <c r="D150" i="18" s="1"/>
  <c r="D162" i="18" s="1"/>
  <c r="C86" i="18"/>
  <c r="C98" i="18" s="1"/>
  <c r="C110" i="18" s="1"/>
  <c r="C122" i="18" s="1"/>
  <c r="C134" i="18" s="1"/>
  <c r="C146" i="18" s="1"/>
  <c r="C158" i="18" s="1"/>
  <c r="C74" i="18"/>
  <c r="P14" i="18"/>
  <c r="P212" i="18"/>
  <c r="P13" i="18"/>
  <c r="F34" i="29"/>
  <c r="I21" i="29"/>
  <c r="C173" i="18"/>
  <c r="C185" i="18"/>
  <c r="C197" i="18" s="1"/>
  <c r="C209" i="18" s="1"/>
  <c r="C175" i="18"/>
  <c r="C187" i="18"/>
  <c r="C199" i="18" s="1"/>
  <c r="C211" i="18" s="1"/>
  <c r="C186" i="18"/>
  <c r="C198" i="18" s="1"/>
  <c r="C210" i="18" s="1"/>
  <c r="C174" i="18"/>
  <c r="I35" i="29"/>
  <c r="F38" i="29"/>
  <c r="C71" i="18"/>
  <c r="C83" i="18"/>
  <c r="C95" i="18" s="1"/>
  <c r="C107" i="18" s="1"/>
  <c r="C119" i="18" s="1"/>
  <c r="C131" i="18" s="1"/>
  <c r="C143" i="18" s="1"/>
  <c r="C155" i="18" s="1"/>
  <c r="H39" i="29"/>
  <c r="I38" i="29" l="1"/>
  <c r="K38" i="29" s="1"/>
  <c r="K35" i="29"/>
  <c r="I34" i="29"/>
  <c r="K34" i="29" s="1"/>
  <c r="K21" i="29"/>
  <c r="D165" i="18"/>
  <c r="D177" i="18"/>
  <c r="D189" i="18" s="1"/>
  <c r="D201" i="18" s="1"/>
  <c r="D180" i="18"/>
  <c r="D192" i="18" s="1"/>
  <c r="D204" i="18" s="1"/>
  <c r="D168" i="18"/>
  <c r="Q14" i="18"/>
  <c r="Q13" i="18"/>
  <c r="C179" i="18"/>
  <c r="C191" i="18" s="1"/>
  <c r="C203" i="18" s="1"/>
  <c r="C167" i="18"/>
  <c r="F39" i="29"/>
  <c r="C170" i="18"/>
  <c r="C182" i="18"/>
  <c r="C194" i="18" s="1"/>
  <c r="C206" i="18" s="1"/>
  <c r="D171" i="18"/>
  <c r="D183" i="18"/>
  <c r="D195" i="18" s="1"/>
  <c r="D207" i="18" s="1"/>
  <c r="D186" i="18"/>
  <c r="D198" i="18" s="1"/>
  <c r="D210" i="18" s="1"/>
  <c r="D174" i="18"/>
  <c r="I39" i="29" l="1"/>
  <c r="K39" i="29" s="1"/>
  <c r="E11" i="29"/>
  <c r="K20" i="18" l="1"/>
  <c r="K207" i="18"/>
  <c r="K195" i="18"/>
  <c r="K179" i="18"/>
  <c r="K167" i="18"/>
  <c r="K139" i="18"/>
  <c r="K127" i="18"/>
  <c r="K111" i="18"/>
  <c r="K95" i="18"/>
  <c r="K79" i="18"/>
  <c r="K63" i="18"/>
  <c r="K51" i="18"/>
  <c r="K35" i="18"/>
  <c r="K23" i="18"/>
  <c r="K193" i="18"/>
  <c r="K161" i="18"/>
  <c r="K129" i="18"/>
  <c r="K97" i="18"/>
  <c r="K57" i="18"/>
  <c r="K25" i="18"/>
  <c r="K194" i="18"/>
  <c r="K182" i="18"/>
  <c r="K170" i="18"/>
  <c r="K158" i="18"/>
  <c r="K146" i="18"/>
  <c r="K134" i="18"/>
  <c r="K118" i="18"/>
  <c r="K102" i="18"/>
  <c r="K90" i="18"/>
  <c r="K46" i="18"/>
  <c r="K34" i="18"/>
  <c r="K205" i="18"/>
  <c r="K189" i="18"/>
  <c r="K173" i="18"/>
  <c r="K141" i="18"/>
  <c r="K85" i="18"/>
  <c r="K200" i="18"/>
  <c r="K184" i="18"/>
  <c r="K160" i="18"/>
  <c r="K128" i="18"/>
  <c r="K164" i="18"/>
  <c r="K132" i="18"/>
  <c r="K84" i="18"/>
  <c r="K36" i="18"/>
  <c r="K80" i="18"/>
  <c r="K32" i="18"/>
  <c r="K24" i="18"/>
  <c r="K76" i="18"/>
  <c r="K104" i="18"/>
  <c r="K190" i="18"/>
  <c r="K114" i="18"/>
  <c r="K86" i="18"/>
  <c r="K62" i="18"/>
  <c r="K42" i="18"/>
  <c r="K165" i="18"/>
  <c r="K109" i="18"/>
  <c r="K53" i="18"/>
  <c r="K196" i="18"/>
  <c r="K152" i="18"/>
  <c r="K156" i="18"/>
  <c r="K120" i="18"/>
  <c r="K68" i="18"/>
  <c r="K112" i="18"/>
  <c r="K88" i="18"/>
  <c r="K60" i="18"/>
  <c r="E13" i="29"/>
  <c r="K191" i="18"/>
  <c r="K175" i="18"/>
  <c r="K163" i="18"/>
  <c r="K151" i="18"/>
  <c r="K135" i="18"/>
  <c r="K123" i="18"/>
  <c r="K107" i="18"/>
  <c r="K91" i="18"/>
  <c r="K75" i="18"/>
  <c r="K59" i="18"/>
  <c r="K47" i="18"/>
  <c r="K185" i="18"/>
  <c r="K153" i="18"/>
  <c r="K121" i="18"/>
  <c r="K73" i="18"/>
  <c r="K49" i="18"/>
  <c r="K188" i="18"/>
  <c r="K202" i="18"/>
  <c r="K178" i="18"/>
  <c r="K166" i="18"/>
  <c r="K154" i="18"/>
  <c r="K130" i="18"/>
  <c r="K98" i="18"/>
  <c r="K74" i="18"/>
  <c r="K54" i="18"/>
  <c r="K30" i="18"/>
  <c r="K133" i="18"/>
  <c r="K77" i="18"/>
  <c r="K29" i="18"/>
  <c r="K180" i="18"/>
  <c r="K208" i="18"/>
  <c r="K64" i="18"/>
  <c r="K108" i="18"/>
  <c r="K72" i="18"/>
  <c r="K203" i="18"/>
  <c r="K187" i="18"/>
  <c r="K159" i="18"/>
  <c r="K147" i="18"/>
  <c r="K131" i="18"/>
  <c r="K119" i="18"/>
  <c r="K103" i="18"/>
  <c r="K87" i="18"/>
  <c r="K71" i="18"/>
  <c r="K43" i="18"/>
  <c r="K31" i="18"/>
  <c r="K209" i="18"/>
  <c r="K177" i="18"/>
  <c r="K145" i="18"/>
  <c r="K113" i="18"/>
  <c r="K89" i="18"/>
  <c r="K65" i="18"/>
  <c r="K41" i="18"/>
  <c r="K210" i="18"/>
  <c r="K186" i="18"/>
  <c r="K162" i="18"/>
  <c r="K142" i="18"/>
  <c r="K126" i="18"/>
  <c r="K110" i="18"/>
  <c r="K82" i="18"/>
  <c r="K70" i="18"/>
  <c r="K26" i="18"/>
  <c r="K197" i="18"/>
  <c r="K181" i="18"/>
  <c r="K157" i="18"/>
  <c r="K125" i="18"/>
  <c r="K101" i="18"/>
  <c r="K69" i="18"/>
  <c r="K45" i="18"/>
  <c r="K21" i="18"/>
  <c r="K192" i="18"/>
  <c r="K172" i="18"/>
  <c r="K144" i="18"/>
  <c r="K148" i="18"/>
  <c r="K124" i="18"/>
  <c r="K100" i="18"/>
  <c r="K52" i="18"/>
  <c r="K48" i="18"/>
  <c r="K44" i="18"/>
  <c r="K40" i="18"/>
  <c r="K183" i="18"/>
  <c r="K67" i="18"/>
  <c r="K201" i="18"/>
  <c r="K81" i="18"/>
  <c r="K198" i="18"/>
  <c r="K150" i="18"/>
  <c r="K94" i="18"/>
  <c r="K50" i="18"/>
  <c r="K61" i="18"/>
  <c r="K168" i="18"/>
  <c r="K116" i="18"/>
  <c r="K155" i="18"/>
  <c r="K39" i="18"/>
  <c r="K33" i="18"/>
  <c r="K122" i="18"/>
  <c r="K22" i="18"/>
  <c r="K204" i="18"/>
  <c r="K143" i="18"/>
  <c r="K105" i="18"/>
  <c r="K140" i="18"/>
  <c r="K171" i="18"/>
  <c r="K115" i="18"/>
  <c r="K55" i="18"/>
  <c r="K169" i="18"/>
  <c r="K138" i="18"/>
  <c r="K78" i="18"/>
  <c r="K38" i="18"/>
  <c r="K149" i="18"/>
  <c r="K37" i="18"/>
  <c r="K136" i="18"/>
  <c r="K56" i="18"/>
  <c r="K211" i="18"/>
  <c r="K99" i="18"/>
  <c r="K137" i="18"/>
  <c r="K174" i="18"/>
  <c r="K66" i="18"/>
  <c r="K117" i="18"/>
  <c r="K176" i="18"/>
  <c r="K92" i="18"/>
  <c r="K199" i="18"/>
  <c r="K27" i="18"/>
  <c r="K206" i="18"/>
  <c r="K106" i="18"/>
  <c r="K58" i="18"/>
  <c r="K93" i="18"/>
  <c r="K96" i="18"/>
  <c r="K83" i="18"/>
  <c r="K28" i="18"/>
  <c r="K13" i="18" l="1"/>
  <c r="K14" i="18"/>
  <c r="K212" i="18"/>
  <c r="M151" i="18" l="1"/>
  <c r="M132" i="18"/>
  <c r="M189" i="18"/>
  <c r="M101" i="18"/>
  <c r="M121" i="18"/>
  <c r="M188" i="18"/>
  <c r="M192" i="18"/>
  <c r="M21" i="18"/>
  <c r="M123" i="18"/>
  <c r="M23" i="18"/>
  <c r="M87" i="18"/>
  <c r="M178" i="18"/>
  <c r="M180" i="18"/>
  <c r="M89" i="18"/>
  <c r="M164" i="18"/>
  <c r="M62" i="18"/>
  <c r="M30" i="18"/>
  <c r="M148" i="18"/>
  <c r="M145" i="18"/>
  <c r="M50" i="18"/>
  <c r="M64" i="18"/>
  <c r="M63" i="18"/>
  <c r="M88" i="18"/>
  <c r="M208" i="18"/>
  <c r="M144" i="18"/>
  <c r="M99" i="18"/>
  <c r="M31" i="18"/>
  <c r="M100" i="18"/>
  <c r="M147" i="18"/>
  <c r="M136" i="18"/>
  <c r="M82" i="18"/>
  <c r="M76" i="18"/>
  <c r="M116" i="18"/>
  <c r="M110" i="18"/>
  <c r="M184" i="18"/>
  <c r="M172" i="18"/>
  <c r="M40" i="18"/>
  <c r="M207" i="18"/>
  <c r="M130" i="18"/>
  <c r="M183" i="18"/>
  <c r="M135" i="18"/>
  <c r="M186" i="18"/>
  <c r="M202" i="18"/>
  <c r="M131" i="18"/>
  <c r="M206" i="18"/>
  <c r="M84" i="18"/>
  <c r="M205" i="18"/>
  <c r="M78" i="18"/>
  <c r="M97" i="18"/>
  <c r="M127" i="18"/>
  <c r="M139" i="18"/>
  <c r="M41" i="18"/>
  <c r="M122" i="18"/>
  <c r="M65" i="18"/>
  <c r="M168" i="18"/>
  <c r="M181" i="18"/>
  <c r="M49" i="18"/>
  <c r="M85" i="18"/>
  <c r="M142" i="18"/>
  <c r="M179" i="18"/>
  <c r="M108" i="18"/>
  <c r="M173" i="18"/>
  <c r="M193" i="18"/>
  <c r="M91" i="18"/>
  <c r="M33" i="18"/>
  <c r="M194" i="18"/>
  <c r="M86" i="18"/>
  <c r="M159" i="18"/>
  <c r="M47" i="18"/>
  <c r="M141" i="18"/>
  <c r="M153" i="18"/>
  <c r="M112" i="18"/>
  <c r="M124" i="18"/>
  <c r="M43" i="18"/>
  <c r="M143" i="18"/>
  <c r="M197" i="18"/>
  <c r="M80" i="18"/>
  <c r="M119" i="18"/>
  <c r="M26" i="18"/>
  <c r="M187" i="18"/>
  <c r="M28" i="18"/>
  <c r="M105" i="18"/>
  <c r="M72" i="18"/>
  <c r="M196" i="18"/>
  <c r="M165" i="18"/>
  <c r="M107" i="18"/>
  <c r="M24" i="18"/>
  <c r="M149" i="18"/>
  <c r="M56" i="18"/>
  <c r="M162" i="18"/>
  <c r="M133" i="18"/>
  <c r="M210" i="18"/>
  <c r="M58" i="18"/>
  <c r="M185" i="18"/>
  <c r="M53" i="18"/>
  <c r="M103" i="18"/>
  <c r="M93" i="18"/>
  <c r="M200" i="18"/>
  <c r="M74" i="18"/>
  <c r="M134" i="18"/>
  <c r="M54" i="18"/>
  <c r="M22" i="18"/>
  <c r="M154" i="18"/>
  <c r="M67" i="18"/>
  <c r="M81" i="18"/>
  <c r="M106" i="18"/>
  <c r="M109" i="18"/>
  <c r="M46" i="18"/>
  <c r="M38" i="18"/>
  <c r="M199" i="18"/>
  <c r="M69" i="18"/>
  <c r="M169" i="18"/>
  <c r="M157" i="18"/>
  <c r="M201" i="18"/>
  <c r="M174" i="18"/>
  <c r="M51" i="18"/>
  <c r="M163" i="18"/>
  <c r="M160" i="18"/>
  <c r="M25" i="18"/>
  <c r="M59" i="18"/>
  <c r="M27" i="18"/>
  <c r="M115" i="18"/>
  <c r="M138" i="18"/>
  <c r="M90" i="18"/>
  <c r="M61" i="18"/>
  <c r="M129" i="18"/>
  <c r="M170" i="18"/>
  <c r="M52" i="18"/>
  <c r="M73" i="18"/>
  <c r="M167" i="18"/>
  <c r="M20" i="18"/>
  <c r="M191" i="18"/>
  <c r="M171" i="18"/>
  <c r="M152" i="18"/>
  <c r="M140" i="18"/>
  <c r="M158" i="18"/>
  <c r="M203" i="18"/>
  <c r="M35" i="18"/>
  <c r="M37" i="18"/>
  <c r="M137" i="18"/>
  <c r="M166" i="18"/>
  <c r="M96" i="18"/>
  <c r="M98" i="18"/>
  <c r="M190" i="18"/>
  <c r="M102" i="18"/>
  <c r="M95" i="18"/>
  <c r="M75" i="18"/>
  <c r="M66" i="18"/>
  <c r="M209" i="18"/>
  <c r="M198" i="18"/>
  <c r="M57" i="18"/>
  <c r="M71" i="18"/>
  <c r="M94" i="18"/>
  <c r="M68" i="18"/>
  <c r="M39" i="18"/>
  <c r="M125" i="18"/>
  <c r="M45" i="18"/>
  <c r="M104" i="18"/>
  <c r="M60" i="18"/>
  <c r="M211" i="18"/>
  <c r="M150" i="18"/>
  <c r="M175" i="18"/>
  <c r="M177" i="18"/>
  <c r="M55" i="18"/>
  <c r="M70" i="18"/>
  <c r="M126" i="18"/>
  <c r="M120" i="18"/>
  <c r="M92" i="18"/>
  <c r="M79" i="18"/>
  <c r="M128" i="18"/>
  <c r="M114" i="18"/>
  <c r="M36" i="18"/>
  <c r="M155" i="18"/>
  <c r="M204" i="18"/>
  <c r="M156" i="18"/>
  <c r="M29" i="18"/>
  <c r="M161" i="18"/>
  <c r="M117" i="18"/>
  <c r="M44" i="18"/>
  <c r="M146" i="18"/>
  <c r="M83" i="18"/>
  <c r="M111" i="18"/>
  <c r="M32" i="18"/>
  <c r="M118" i="18"/>
  <c r="M77" i="18"/>
  <c r="M42" i="18"/>
  <c r="M113" i="18"/>
  <c r="M182" i="18"/>
  <c r="M34" i="18"/>
  <c r="M48" i="18"/>
  <c r="M195" i="18"/>
  <c r="M176" i="18"/>
  <c r="M212" i="18" l="1"/>
  <c r="M13" i="18"/>
  <c r="F12" i="29" l="1"/>
  <c r="I117" i="18" l="1"/>
  <c r="J117" i="18" s="1"/>
  <c r="L117" i="18" s="1"/>
  <c r="N117" i="18" s="1"/>
  <c r="R117" i="18" s="1"/>
  <c r="I169" i="18"/>
  <c r="J169" i="18" s="1"/>
  <c r="L169" i="18" s="1"/>
  <c r="N169" i="18" s="1"/>
  <c r="R169" i="18" s="1"/>
  <c r="F14" i="29"/>
  <c r="I71" i="18"/>
  <c r="J71" i="18" s="1"/>
  <c r="L71" i="18" s="1"/>
  <c r="N71" i="18" s="1"/>
  <c r="R71" i="18" s="1"/>
  <c r="I49" i="18"/>
  <c r="J49" i="18" s="1"/>
  <c r="L49" i="18" s="1"/>
  <c r="N49" i="18" s="1"/>
  <c r="R49" i="18" s="1"/>
  <c r="I199" i="18"/>
  <c r="J199" i="18" s="1"/>
  <c r="L199" i="18" s="1"/>
  <c r="N199" i="18" s="1"/>
  <c r="R199" i="18" s="1"/>
  <c r="I63" i="18"/>
  <c r="J63" i="18" s="1"/>
  <c r="L63" i="18" s="1"/>
  <c r="N63" i="18" s="1"/>
  <c r="R63" i="18" s="1"/>
  <c r="I25" i="18"/>
  <c r="J25" i="18" s="1"/>
  <c r="L25" i="18" s="1"/>
  <c r="N25" i="18" s="1"/>
  <c r="R25" i="18" s="1"/>
  <c r="I205" i="18"/>
  <c r="J205" i="18" s="1"/>
  <c r="L205" i="18" s="1"/>
  <c r="N205" i="18" s="1"/>
  <c r="R205" i="18" s="1"/>
  <c r="I140" i="18"/>
  <c r="J140" i="18" s="1"/>
  <c r="L140" i="18" s="1"/>
  <c r="N140" i="18" s="1"/>
  <c r="R140" i="18" s="1"/>
  <c r="I196" i="18"/>
  <c r="J196" i="18" s="1"/>
  <c r="L196" i="18" s="1"/>
  <c r="N196" i="18" s="1"/>
  <c r="R196" i="18" s="1"/>
  <c r="I139" i="18"/>
  <c r="J139" i="18" s="1"/>
  <c r="L139" i="18" s="1"/>
  <c r="N139" i="18" s="1"/>
  <c r="R139" i="18" s="1"/>
  <c r="I46" i="18"/>
  <c r="J46" i="18" s="1"/>
  <c r="L46" i="18" s="1"/>
  <c r="N46" i="18" s="1"/>
  <c r="R46" i="18" s="1"/>
  <c r="I64" i="18"/>
  <c r="J64" i="18" s="1"/>
  <c r="L64" i="18" s="1"/>
  <c r="N64" i="18" s="1"/>
  <c r="R64" i="18" s="1"/>
  <c r="I44" i="18"/>
  <c r="J44" i="18" s="1"/>
  <c r="L44" i="18" s="1"/>
  <c r="N44" i="18" s="1"/>
  <c r="R44" i="18" s="1"/>
  <c r="I87" i="18"/>
  <c r="J87" i="18" s="1"/>
  <c r="L87" i="18" s="1"/>
  <c r="N87" i="18" s="1"/>
  <c r="R87" i="18" s="1"/>
  <c r="I108" i="18"/>
  <c r="J108" i="18" s="1"/>
  <c r="L108" i="18" s="1"/>
  <c r="N108" i="18" s="1"/>
  <c r="R108" i="18" s="1"/>
  <c r="I58" i="18"/>
  <c r="J58" i="18" s="1"/>
  <c r="L58" i="18" s="1"/>
  <c r="N58" i="18" s="1"/>
  <c r="R58" i="18" s="1"/>
  <c r="I21" i="18"/>
  <c r="J21" i="18" s="1"/>
  <c r="L21" i="18" s="1"/>
  <c r="N21" i="18" s="1"/>
  <c r="R21" i="18" s="1"/>
  <c r="I91" i="18"/>
  <c r="J91" i="18" s="1"/>
  <c r="L91" i="18" s="1"/>
  <c r="N91" i="18" s="1"/>
  <c r="R91" i="18" s="1"/>
  <c r="I201" i="18"/>
  <c r="J201" i="18" s="1"/>
  <c r="L201" i="18" s="1"/>
  <c r="N201" i="18" s="1"/>
  <c r="R201" i="18" s="1"/>
  <c r="I207" i="18"/>
  <c r="J207" i="18" s="1"/>
  <c r="L207" i="18" s="1"/>
  <c r="N207" i="18" s="1"/>
  <c r="R207" i="18" s="1"/>
  <c r="I145" i="18"/>
  <c r="J145" i="18" s="1"/>
  <c r="L145" i="18" s="1"/>
  <c r="N145" i="18" s="1"/>
  <c r="R145" i="18" s="1"/>
  <c r="I107" i="18"/>
  <c r="J107" i="18" s="1"/>
  <c r="L107" i="18" s="1"/>
  <c r="N107" i="18" s="1"/>
  <c r="R107" i="18" s="1"/>
  <c r="I26" i="18"/>
  <c r="J26" i="18" s="1"/>
  <c r="L26" i="18" s="1"/>
  <c r="N26" i="18" s="1"/>
  <c r="R26" i="18" s="1"/>
  <c r="I111" i="18"/>
  <c r="J111" i="18" s="1"/>
  <c r="L111" i="18" s="1"/>
  <c r="N111" i="18" s="1"/>
  <c r="R111" i="18" s="1"/>
  <c r="I22" i="18"/>
  <c r="J22" i="18" s="1"/>
  <c r="L22" i="18" s="1"/>
  <c r="N22" i="18" s="1"/>
  <c r="R22" i="18" s="1"/>
  <c r="I123" i="18"/>
  <c r="J123" i="18" s="1"/>
  <c r="L123" i="18" s="1"/>
  <c r="N123" i="18" s="1"/>
  <c r="R123" i="18" s="1"/>
  <c r="I179" i="18"/>
  <c r="J179" i="18" s="1"/>
  <c r="L179" i="18" s="1"/>
  <c r="N179" i="18" s="1"/>
  <c r="R179" i="18" s="1"/>
  <c r="I39" i="18"/>
  <c r="J39" i="18" s="1"/>
  <c r="L39" i="18" s="1"/>
  <c r="N39" i="18" s="1"/>
  <c r="R39" i="18" s="1"/>
  <c r="I94" i="18"/>
  <c r="J94" i="18" s="1"/>
  <c r="L94" i="18" s="1"/>
  <c r="N94" i="18" s="1"/>
  <c r="R94" i="18" s="1"/>
  <c r="I72" i="18"/>
  <c r="J72" i="18" s="1"/>
  <c r="L72" i="18" s="1"/>
  <c r="N72" i="18" s="1"/>
  <c r="R72" i="18" s="1"/>
  <c r="I177" i="18"/>
  <c r="J177" i="18" s="1"/>
  <c r="L177" i="18" s="1"/>
  <c r="N177" i="18" s="1"/>
  <c r="R177" i="18" s="1"/>
  <c r="I142" i="18"/>
  <c r="J142" i="18" s="1"/>
  <c r="L142" i="18" s="1"/>
  <c r="N142" i="18" s="1"/>
  <c r="R142" i="18" s="1"/>
  <c r="I79" i="18"/>
  <c r="J79" i="18" s="1"/>
  <c r="L79" i="18" s="1"/>
  <c r="N79" i="18" s="1"/>
  <c r="R79" i="18" s="1"/>
  <c r="I40" i="18"/>
  <c r="J40" i="18" s="1"/>
  <c r="L40" i="18" s="1"/>
  <c r="N40" i="18" s="1"/>
  <c r="R40" i="18" s="1"/>
  <c r="I89" i="18"/>
  <c r="J89" i="18" s="1"/>
  <c r="L89" i="18" s="1"/>
  <c r="N89" i="18" s="1"/>
  <c r="R89" i="18" s="1"/>
  <c r="I28" i="18"/>
  <c r="J28" i="18" s="1"/>
  <c r="L28" i="18" s="1"/>
  <c r="N28" i="18" s="1"/>
  <c r="R28" i="18" s="1"/>
  <c r="I187" i="18"/>
  <c r="J187" i="18" s="1"/>
  <c r="L187" i="18" s="1"/>
  <c r="N187" i="18" s="1"/>
  <c r="R187" i="18" s="1"/>
  <c r="I50" i="18"/>
  <c r="J50" i="18" s="1"/>
  <c r="L50" i="18" s="1"/>
  <c r="N50" i="18" s="1"/>
  <c r="R50" i="18" s="1"/>
  <c r="I168" i="18"/>
  <c r="J168" i="18" s="1"/>
  <c r="L168" i="18" s="1"/>
  <c r="N168" i="18" s="1"/>
  <c r="R168" i="18" s="1"/>
  <c r="I90" i="18"/>
  <c r="J90" i="18" s="1"/>
  <c r="L90" i="18" s="1"/>
  <c r="N90" i="18" s="1"/>
  <c r="R90" i="18" s="1"/>
  <c r="I183" i="18"/>
  <c r="J183" i="18" s="1"/>
  <c r="L183" i="18" s="1"/>
  <c r="N183" i="18" s="1"/>
  <c r="R183" i="18" s="1"/>
  <c r="I96" i="18"/>
  <c r="J96" i="18" s="1"/>
  <c r="L96" i="18" s="1"/>
  <c r="N96" i="18" s="1"/>
  <c r="R96" i="18" s="1"/>
  <c r="I45" i="18"/>
  <c r="J45" i="18" s="1"/>
  <c r="L45" i="18" s="1"/>
  <c r="N45" i="18" s="1"/>
  <c r="R45" i="18" s="1"/>
  <c r="I98" i="18"/>
  <c r="J98" i="18" s="1"/>
  <c r="L98" i="18" s="1"/>
  <c r="N98" i="18" s="1"/>
  <c r="R98" i="18" s="1"/>
  <c r="I47" i="18"/>
  <c r="J47" i="18" s="1"/>
  <c r="L47" i="18" s="1"/>
  <c r="N47" i="18" s="1"/>
  <c r="R47" i="18" s="1"/>
  <c r="I204" i="18"/>
  <c r="J204" i="18" s="1"/>
  <c r="L204" i="18" s="1"/>
  <c r="N204" i="18" s="1"/>
  <c r="R204" i="18" s="1"/>
  <c r="I158" i="18"/>
  <c r="J158" i="18" s="1"/>
  <c r="L158" i="18" s="1"/>
  <c r="N158" i="18" s="1"/>
  <c r="R158" i="18" s="1"/>
  <c r="I152" i="18"/>
  <c r="J152" i="18" s="1"/>
  <c r="L152" i="18" s="1"/>
  <c r="N152" i="18" s="1"/>
  <c r="R152" i="18" s="1"/>
  <c r="I54" i="18"/>
  <c r="J54" i="18" s="1"/>
  <c r="L54" i="18" s="1"/>
  <c r="N54" i="18" s="1"/>
  <c r="R54" i="18" s="1"/>
  <c r="I57" i="18"/>
  <c r="J57" i="18" s="1"/>
  <c r="L57" i="18" s="1"/>
  <c r="N57" i="18" s="1"/>
  <c r="R57" i="18" s="1"/>
  <c r="I136" i="18"/>
  <c r="J136" i="18" s="1"/>
  <c r="L136" i="18" s="1"/>
  <c r="N136" i="18" s="1"/>
  <c r="R136" i="18" s="1"/>
  <c r="I162" i="18"/>
  <c r="J162" i="18" s="1"/>
  <c r="L162" i="18" s="1"/>
  <c r="N162" i="18" s="1"/>
  <c r="R162" i="18" s="1"/>
  <c r="I103" i="18"/>
  <c r="J103" i="18" s="1"/>
  <c r="L103" i="18" s="1"/>
  <c r="N103" i="18" s="1"/>
  <c r="R103" i="18" s="1"/>
  <c r="I30" i="18"/>
  <c r="J30" i="18" s="1"/>
  <c r="L30" i="18" s="1"/>
  <c r="N30" i="18" s="1"/>
  <c r="R30" i="18" s="1"/>
  <c r="I186" i="18"/>
  <c r="J186" i="18" s="1"/>
  <c r="L186" i="18" s="1"/>
  <c r="N186" i="18" s="1"/>
  <c r="R186" i="18" s="1"/>
  <c r="I99" i="18"/>
  <c r="J99" i="18" s="1"/>
  <c r="L99" i="18" s="1"/>
  <c r="N99" i="18" s="1"/>
  <c r="R99" i="18" s="1"/>
  <c r="I172" i="18"/>
  <c r="J172" i="18" s="1"/>
  <c r="L172" i="18" s="1"/>
  <c r="N172" i="18" s="1"/>
  <c r="R172" i="18" s="1"/>
  <c r="I146" i="18"/>
  <c r="J146" i="18" s="1"/>
  <c r="L146" i="18" s="1"/>
  <c r="N146" i="18" s="1"/>
  <c r="R146" i="18" s="1"/>
  <c r="I138" i="18"/>
  <c r="J138" i="18" s="1"/>
  <c r="L138" i="18" s="1"/>
  <c r="N138" i="18" s="1"/>
  <c r="R138" i="18" s="1"/>
  <c r="I70" i="18"/>
  <c r="J70" i="18" s="1"/>
  <c r="L70" i="18" s="1"/>
  <c r="N70" i="18" s="1"/>
  <c r="R70" i="18" s="1"/>
  <c r="I73" i="18"/>
  <c r="J73" i="18" s="1"/>
  <c r="L73" i="18" s="1"/>
  <c r="N73" i="18" s="1"/>
  <c r="R73" i="18" s="1"/>
  <c r="I97" i="18"/>
  <c r="J97" i="18" s="1"/>
  <c r="L97" i="18" s="1"/>
  <c r="N97" i="18" s="1"/>
  <c r="R97" i="18" s="1"/>
  <c r="I120" i="18"/>
  <c r="J120" i="18" s="1"/>
  <c r="L120" i="18" s="1"/>
  <c r="N120" i="18" s="1"/>
  <c r="R120" i="18" s="1"/>
  <c r="I175" i="18"/>
  <c r="J175" i="18" s="1"/>
  <c r="L175" i="18" s="1"/>
  <c r="N175" i="18" s="1"/>
  <c r="R175" i="18" s="1"/>
  <c r="I130" i="18"/>
  <c r="J130" i="18" s="1"/>
  <c r="L130" i="18" s="1"/>
  <c r="N130" i="18" s="1"/>
  <c r="R130" i="18" s="1"/>
  <c r="I185" i="18"/>
  <c r="J185" i="18" s="1"/>
  <c r="L185" i="18" s="1"/>
  <c r="N185" i="18" s="1"/>
  <c r="R185" i="18" s="1"/>
  <c r="I190" i="18"/>
  <c r="J190" i="18" s="1"/>
  <c r="L190" i="18" s="1"/>
  <c r="N190" i="18" s="1"/>
  <c r="R190" i="18" s="1"/>
  <c r="I86" i="18"/>
  <c r="J86" i="18" s="1"/>
  <c r="L86" i="18" s="1"/>
  <c r="N86" i="18" s="1"/>
  <c r="R86" i="18" s="1"/>
  <c r="I208" i="18"/>
  <c r="J208" i="18" s="1"/>
  <c r="L208" i="18" s="1"/>
  <c r="N208" i="18" s="1"/>
  <c r="R208" i="18" s="1"/>
  <c r="I23" i="18"/>
  <c r="J23" i="18" s="1"/>
  <c r="L23" i="18" s="1"/>
  <c r="N23" i="18" s="1"/>
  <c r="R23" i="18" s="1"/>
  <c r="I194" i="18"/>
  <c r="J194" i="18" s="1"/>
  <c r="L194" i="18" s="1"/>
  <c r="N194" i="18" s="1"/>
  <c r="R194" i="18" s="1"/>
  <c r="I182" i="18"/>
  <c r="J182" i="18" s="1"/>
  <c r="L182" i="18" s="1"/>
  <c r="N182" i="18" s="1"/>
  <c r="R182" i="18" s="1"/>
  <c r="I92" i="18"/>
  <c r="J92" i="18" s="1"/>
  <c r="L92" i="18" s="1"/>
  <c r="N92" i="18" s="1"/>
  <c r="R92" i="18" s="1"/>
  <c r="I153" i="18"/>
  <c r="J153" i="18" s="1"/>
  <c r="L153" i="18" s="1"/>
  <c r="N153" i="18" s="1"/>
  <c r="R153" i="18" s="1"/>
  <c r="I133" i="18"/>
  <c r="J133" i="18" s="1"/>
  <c r="L133" i="18" s="1"/>
  <c r="N133" i="18" s="1"/>
  <c r="R133" i="18" s="1"/>
  <c r="I202" i="18"/>
  <c r="J202" i="18" s="1"/>
  <c r="L202" i="18" s="1"/>
  <c r="N202" i="18" s="1"/>
  <c r="R202" i="18" s="1"/>
  <c r="I134" i="18"/>
  <c r="J134" i="18" s="1"/>
  <c r="L134" i="18" s="1"/>
  <c r="N134" i="18" s="1"/>
  <c r="R134" i="18" s="1"/>
  <c r="I144" i="18"/>
  <c r="J144" i="18" s="1"/>
  <c r="L144" i="18" s="1"/>
  <c r="N144" i="18" s="1"/>
  <c r="R144" i="18" s="1"/>
  <c r="I110" i="18"/>
  <c r="J110" i="18" s="1"/>
  <c r="L110" i="18" s="1"/>
  <c r="N110" i="18" s="1"/>
  <c r="R110" i="18" s="1"/>
  <c r="I74" i="18"/>
  <c r="J74" i="18" s="1"/>
  <c r="L74" i="18" s="1"/>
  <c r="N74" i="18" s="1"/>
  <c r="R74" i="18" s="1"/>
  <c r="I211" i="18"/>
  <c r="J211" i="18" s="1"/>
  <c r="L211" i="18" s="1"/>
  <c r="N211" i="18" s="1"/>
  <c r="R211" i="18" s="1"/>
  <c r="I66" i="18"/>
  <c r="J66" i="18" s="1"/>
  <c r="L66" i="18" s="1"/>
  <c r="N66" i="18" s="1"/>
  <c r="R66" i="18" s="1"/>
  <c r="I173" i="18"/>
  <c r="J173" i="18" s="1"/>
  <c r="L173" i="18" s="1"/>
  <c r="N173" i="18" s="1"/>
  <c r="R173" i="18" s="1"/>
  <c r="I60" i="18"/>
  <c r="J60" i="18" s="1"/>
  <c r="L60" i="18" s="1"/>
  <c r="N60" i="18" s="1"/>
  <c r="R60" i="18" s="1"/>
  <c r="I33" i="18"/>
  <c r="J33" i="18" s="1"/>
  <c r="L33" i="18" s="1"/>
  <c r="N33" i="18" s="1"/>
  <c r="R33" i="18" s="1"/>
  <c r="I200" i="18"/>
  <c r="J200" i="18" s="1"/>
  <c r="L200" i="18" s="1"/>
  <c r="N200" i="18" s="1"/>
  <c r="R200" i="18" s="1"/>
  <c r="I116" i="18"/>
  <c r="J116" i="18" s="1"/>
  <c r="L116" i="18" s="1"/>
  <c r="N116" i="18" s="1"/>
  <c r="R116" i="18" s="1"/>
  <c r="I69" i="18"/>
  <c r="J69" i="18" s="1"/>
  <c r="L69" i="18" s="1"/>
  <c r="N69" i="18" s="1"/>
  <c r="R69" i="18" s="1"/>
  <c r="I178" i="18"/>
  <c r="J178" i="18" s="1"/>
  <c r="L178" i="18" s="1"/>
  <c r="N178" i="18" s="1"/>
  <c r="R178" i="18" s="1"/>
  <c r="I77" i="18"/>
  <c r="J77" i="18" s="1"/>
  <c r="L77" i="18" s="1"/>
  <c r="N77" i="18" s="1"/>
  <c r="R77" i="18" s="1"/>
  <c r="I128" i="18"/>
  <c r="J128" i="18" s="1"/>
  <c r="L128" i="18" s="1"/>
  <c r="N128" i="18" s="1"/>
  <c r="R128" i="18" s="1"/>
  <c r="I105" i="18"/>
  <c r="J105" i="18" s="1"/>
  <c r="L105" i="18" s="1"/>
  <c r="N105" i="18" s="1"/>
  <c r="R105" i="18" s="1"/>
  <c r="I112" i="18"/>
  <c r="J112" i="18" s="1"/>
  <c r="L112" i="18" s="1"/>
  <c r="N112" i="18" s="1"/>
  <c r="R112" i="18" s="1"/>
  <c r="I170" i="18"/>
  <c r="J170" i="18" s="1"/>
  <c r="L170" i="18" s="1"/>
  <c r="N170" i="18" s="1"/>
  <c r="R170" i="18" s="1"/>
  <c r="I32" i="18"/>
  <c r="J32" i="18" s="1"/>
  <c r="L32" i="18" s="1"/>
  <c r="N32" i="18" s="1"/>
  <c r="R32" i="18" s="1"/>
  <c r="I20" i="18"/>
  <c r="J20" i="18" s="1"/>
  <c r="I132" i="18"/>
  <c r="J132" i="18" s="1"/>
  <c r="L132" i="18" s="1"/>
  <c r="N132" i="18" s="1"/>
  <c r="R132" i="18" s="1"/>
  <c r="I115" i="18"/>
  <c r="J115" i="18" s="1"/>
  <c r="L115" i="18" s="1"/>
  <c r="N115" i="18" s="1"/>
  <c r="R115" i="18" s="1"/>
  <c r="I192" i="18"/>
  <c r="J192" i="18" s="1"/>
  <c r="L192" i="18" s="1"/>
  <c r="N192" i="18" s="1"/>
  <c r="R192" i="18" s="1"/>
  <c r="I195" i="18"/>
  <c r="J195" i="18" s="1"/>
  <c r="L195" i="18" s="1"/>
  <c r="N195" i="18" s="1"/>
  <c r="R195" i="18" s="1"/>
  <c r="I191" i="18"/>
  <c r="J191" i="18" s="1"/>
  <c r="L191" i="18" s="1"/>
  <c r="N191" i="18" s="1"/>
  <c r="R191" i="18" s="1"/>
  <c r="I143" i="18"/>
  <c r="J143" i="18" s="1"/>
  <c r="L143" i="18" s="1"/>
  <c r="N143" i="18" s="1"/>
  <c r="R143" i="18" s="1"/>
  <c r="I84" i="18"/>
  <c r="J84" i="18" s="1"/>
  <c r="L84" i="18" s="1"/>
  <c r="N84" i="18" s="1"/>
  <c r="R84" i="18" s="1"/>
  <c r="I104" i="18"/>
  <c r="J104" i="18" s="1"/>
  <c r="L104" i="18" s="1"/>
  <c r="N104" i="18" s="1"/>
  <c r="R104" i="18" s="1"/>
  <c r="I209" i="18"/>
  <c r="J209" i="18" s="1"/>
  <c r="L209" i="18" s="1"/>
  <c r="N209" i="18" s="1"/>
  <c r="R209" i="18" s="1"/>
  <c r="I181" i="18"/>
  <c r="J181" i="18" s="1"/>
  <c r="L181" i="18" s="1"/>
  <c r="N181" i="18" s="1"/>
  <c r="R181" i="18" s="1"/>
  <c r="I121" i="18"/>
  <c r="J121" i="18" s="1"/>
  <c r="L121" i="18" s="1"/>
  <c r="N121" i="18" s="1"/>
  <c r="R121" i="18" s="1"/>
  <c r="I163" i="18"/>
  <c r="J163" i="18" s="1"/>
  <c r="L163" i="18" s="1"/>
  <c r="N163" i="18" s="1"/>
  <c r="R163" i="18" s="1"/>
  <c r="I52" i="18"/>
  <c r="J52" i="18" s="1"/>
  <c r="L52" i="18" s="1"/>
  <c r="N52" i="18" s="1"/>
  <c r="R52" i="18" s="1"/>
  <c r="I126" i="18"/>
  <c r="J126" i="18" s="1"/>
  <c r="L126" i="18" s="1"/>
  <c r="N126" i="18" s="1"/>
  <c r="R126" i="18" s="1"/>
  <c r="I62" i="18"/>
  <c r="J62" i="18" s="1"/>
  <c r="L62" i="18" s="1"/>
  <c r="N62" i="18" s="1"/>
  <c r="R62" i="18" s="1"/>
  <c r="I35" i="18"/>
  <c r="J35" i="18" s="1"/>
  <c r="L35" i="18" s="1"/>
  <c r="N35" i="18" s="1"/>
  <c r="R35" i="18" s="1"/>
  <c r="I148" i="18"/>
  <c r="J148" i="18" s="1"/>
  <c r="L148" i="18" s="1"/>
  <c r="N148" i="18" s="1"/>
  <c r="R148" i="18" s="1"/>
  <c r="I55" i="18"/>
  <c r="J55" i="18" s="1"/>
  <c r="L55" i="18" s="1"/>
  <c r="N55" i="18" s="1"/>
  <c r="R55" i="18" s="1"/>
  <c r="I75" i="18"/>
  <c r="J75" i="18" s="1"/>
  <c r="L75" i="18" s="1"/>
  <c r="N75" i="18" s="1"/>
  <c r="R75" i="18" s="1"/>
  <c r="I114" i="18"/>
  <c r="J114" i="18" s="1"/>
  <c r="L114" i="18" s="1"/>
  <c r="N114" i="18" s="1"/>
  <c r="R114" i="18" s="1"/>
  <c r="I101" i="18"/>
  <c r="J101" i="18" s="1"/>
  <c r="L101" i="18" s="1"/>
  <c r="N101" i="18" s="1"/>
  <c r="R101" i="18" s="1"/>
  <c r="I48" i="18"/>
  <c r="J48" i="18" s="1"/>
  <c r="L48" i="18" s="1"/>
  <c r="N48" i="18" s="1"/>
  <c r="R48" i="18" s="1"/>
  <c r="I147" i="18"/>
  <c r="J147" i="18" s="1"/>
  <c r="L147" i="18" s="1"/>
  <c r="N147" i="18" s="1"/>
  <c r="R147" i="18" s="1"/>
  <c r="I137" i="18"/>
  <c r="J137" i="18" s="1"/>
  <c r="L137" i="18" s="1"/>
  <c r="N137" i="18" s="1"/>
  <c r="R137" i="18" s="1"/>
  <c r="I42" i="18"/>
  <c r="J42" i="18" s="1"/>
  <c r="L42" i="18" s="1"/>
  <c r="N42" i="18" s="1"/>
  <c r="R42" i="18" s="1"/>
  <c r="I125" i="18"/>
  <c r="J125" i="18" s="1"/>
  <c r="L125" i="18" s="1"/>
  <c r="N125" i="18" s="1"/>
  <c r="R125" i="18" s="1"/>
  <c r="I176" i="18"/>
  <c r="J176" i="18" s="1"/>
  <c r="L176" i="18" s="1"/>
  <c r="N176" i="18" s="1"/>
  <c r="R176" i="18" s="1"/>
  <c r="I106" i="18"/>
  <c r="J106" i="18" s="1"/>
  <c r="L106" i="18" s="1"/>
  <c r="N106" i="18" s="1"/>
  <c r="R106" i="18" s="1"/>
  <c r="I131" i="18"/>
  <c r="J131" i="18" s="1"/>
  <c r="L131" i="18" s="1"/>
  <c r="N131" i="18" s="1"/>
  <c r="R131" i="18" s="1"/>
  <c r="I161" i="18"/>
  <c r="J161" i="18" s="1"/>
  <c r="L161" i="18" s="1"/>
  <c r="N161" i="18" s="1"/>
  <c r="R161" i="18" s="1"/>
  <c r="I34" i="18"/>
  <c r="J34" i="18" s="1"/>
  <c r="L34" i="18" s="1"/>
  <c r="N34" i="18" s="1"/>
  <c r="R34" i="18" s="1"/>
  <c r="I119" i="18"/>
  <c r="J119" i="18" s="1"/>
  <c r="L119" i="18" s="1"/>
  <c r="N119" i="18" s="1"/>
  <c r="R119" i="18" s="1"/>
  <c r="I93" i="18"/>
  <c r="J93" i="18" s="1"/>
  <c r="L93" i="18" s="1"/>
  <c r="N93" i="18" s="1"/>
  <c r="R93" i="18" s="1"/>
  <c r="I174" i="18"/>
  <c r="J174" i="18" s="1"/>
  <c r="L174" i="18" s="1"/>
  <c r="N174" i="18" s="1"/>
  <c r="R174" i="18" s="1"/>
  <c r="I210" i="18"/>
  <c r="J210" i="18" s="1"/>
  <c r="L210" i="18" s="1"/>
  <c r="N210" i="18" s="1"/>
  <c r="R210" i="18" s="1"/>
  <c r="I41" i="18"/>
  <c r="J41" i="18" s="1"/>
  <c r="L41" i="18" s="1"/>
  <c r="N41" i="18" s="1"/>
  <c r="R41" i="18" s="1"/>
  <c r="I167" i="18"/>
  <c r="J167" i="18" s="1"/>
  <c r="L167" i="18" s="1"/>
  <c r="N167" i="18" s="1"/>
  <c r="R167" i="18" s="1"/>
  <c r="I193" i="18"/>
  <c r="J193" i="18" s="1"/>
  <c r="L193" i="18" s="1"/>
  <c r="N193" i="18" s="1"/>
  <c r="R193" i="18" s="1"/>
  <c r="I27" i="18"/>
  <c r="J27" i="18" s="1"/>
  <c r="L27" i="18" s="1"/>
  <c r="N27" i="18" s="1"/>
  <c r="R27" i="18" s="1"/>
  <c r="I150" i="18"/>
  <c r="J150" i="18" s="1"/>
  <c r="L150" i="18" s="1"/>
  <c r="N150" i="18" s="1"/>
  <c r="R150" i="18" s="1"/>
  <c r="I127" i="18"/>
  <c r="J127" i="18" s="1"/>
  <c r="L127" i="18" s="1"/>
  <c r="N127" i="18" s="1"/>
  <c r="R127" i="18" s="1"/>
  <c r="I135" i="18"/>
  <c r="J135" i="18" s="1"/>
  <c r="L135" i="18" s="1"/>
  <c r="N135" i="18" s="1"/>
  <c r="R135" i="18" s="1"/>
  <c r="I129" i="18"/>
  <c r="J129" i="18" s="1"/>
  <c r="L129" i="18" s="1"/>
  <c r="N129" i="18" s="1"/>
  <c r="R129" i="18" s="1"/>
  <c r="I109" i="18"/>
  <c r="J109" i="18" s="1"/>
  <c r="L109" i="18" s="1"/>
  <c r="N109" i="18" s="1"/>
  <c r="R109" i="18" s="1"/>
  <c r="I124" i="18"/>
  <c r="J124" i="18" s="1"/>
  <c r="L124" i="18" s="1"/>
  <c r="N124" i="18" s="1"/>
  <c r="R124" i="18" s="1"/>
  <c r="I197" i="18"/>
  <c r="J197" i="18" s="1"/>
  <c r="L197" i="18" s="1"/>
  <c r="N197" i="18" s="1"/>
  <c r="R197" i="18" s="1"/>
  <c r="I59" i="18"/>
  <c r="J59" i="18" s="1"/>
  <c r="L59" i="18" s="1"/>
  <c r="N59" i="18" s="1"/>
  <c r="R59" i="18" s="1"/>
  <c r="I80" i="18"/>
  <c r="J80" i="18" s="1"/>
  <c r="L80" i="18" s="1"/>
  <c r="N80" i="18" s="1"/>
  <c r="R80" i="18" s="1"/>
  <c r="I122" i="18"/>
  <c r="J122" i="18" s="1"/>
  <c r="L122" i="18" s="1"/>
  <c r="N122" i="18" s="1"/>
  <c r="R122" i="18" s="1"/>
  <c r="I160" i="18"/>
  <c r="J160" i="18" s="1"/>
  <c r="L160" i="18" s="1"/>
  <c r="N160" i="18" s="1"/>
  <c r="R160" i="18" s="1"/>
  <c r="I154" i="18"/>
  <c r="J154" i="18" s="1"/>
  <c r="L154" i="18" s="1"/>
  <c r="N154" i="18" s="1"/>
  <c r="R154" i="18" s="1"/>
  <c r="I171" i="18"/>
  <c r="J171" i="18" s="1"/>
  <c r="L171" i="18" s="1"/>
  <c r="N171" i="18" s="1"/>
  <c r="R171" i="18" s="1"/>
  <c r="I37" i="18"/>
  <c r="J37" i="18" s="1"/>
  <c r="L37" i="18" s="1"/>
  <c r="N37" i="18" s="1"/>
  <c r="R37" i="18" s="1"/>
  <c r="I102" i="18"/>
  <c r="J102" i="18" s="1"/>
  <c r="L102" i="18" s="1"/>
  <c r="N102" i="18" s="1"/>
  <c r="R102" i="18" s="1"/>
  <c r="I61" i="18"/>
  <c r="J61" i="18" s="1"/>
  <c r="L61" i="18" s="1"/>
  <c r="N61" i="18" s="1"/>
  <c r="R61" i="18" s="1"/>
  <c r="I203" i="18"/>
  <c r="J203" i="18" s="1"/>
  <c r="L203" i="18" s="1"/>
  <c r="N203" i="18" s="1"/>
  <c r="R203" i="18" s="1"/>
  <c r="I43" i="18"/>
  <c r="J43" i="18" s="1"/>
  <c r="L43" i="18" s="1"/>
  <c r="N43" i="18" s="1"/>
  <c r="R43" i="18" s="1"/>
  <c r="I166" i="18"/>
  <c r="J166" i="18" s="1"/>
  <c r="L166" i="18" s="1"/>
  <c r="N166" i="18" s="1"/>
  <c r="R166" i="18" s="1"/>
  <c r="I206" i="18"/>
  <c r="J206" i="18" s="1"/>
  <c r="L206" i="18" s="1"/>
  <c r="N206" i="18" s="1"/>
  <c r="R206" i="18" s="1"/>
  <c r="I68" i="18"/>
  <c r="J68" i="18" s="1"/>
  <c r="L68" i="18" s="1"/>
  <c r="N68" i="18" s="1"/>
  <c r="R68" i="18" s="1"/>
  <c r="I67" i="18"/>
  <c r="J67" i="18" s="1"/>
  <c r="L67" i="18" s="1"/>
  <c r="N67" i="18" s="1"/>
  <c r="R67" i="18" s="1"/>
  <c r="I38" i="18"/>
  <c r="J38" i="18" s="1"/>
  <c r="L38" i="18" s="1"/>
  <c r="N38" i="18" s="1"/>
  <c r="R38" i="18" s="1"/>
  <c r="I188" i="18"/>
  <c r="J188" i="18" s="1"/>
  <c r="L188" i="18" s="1"/>
  <c r="N188" i="18" s="1"/>
  <c r="R188" i="18" s="1"/>
  <c r="I56" i="18"/>
  <c r="J56" i="18" s="1"/>
  <c r="I165" i="18"/>
  <c r="J165" i="18" s="1"/>
  <c r="L165" i="18" s="1"/>
  <c r="N165" i="18" s="1"/>
  <c r="R165" i="18" s="1"/>
  <c r="I156" i="18"/>
  <c r="J156" i="18" s="1"/>
  <c r="L156" i="18" s="1"/>
  <c r="N156" i="18" s="1"/>
  <c r="R156" i="18" s="1"/>
  <c r="I198" i="18"/>
  <c r="J198" i="18" s="1"/>
  <c r="L198" i="18" s="1"/>
  <c r="N198" i="18" s="1"/>
  <c r="R198" i="18" s="1"/>
  <c r="I36" i="18"/>
  <c r="J36" i="18" s="1"/>
  <c r="L36" i="18" s="1"/>
  <c r="N36" i="18" s="1"/>
  <c r="R36" i="18" s="1"/>
  <c r="I113" i="18"/>
  <c r="J113" i="18" s="1"/>
  <c r="L113" i="18" s="1"/>
  <c r="N113" i="18" s="1"/>
  <c r="R113" i="18" s="1"/>
  <c r="I88" i="18"/>
  <c r="J88" i="18" s="1"/>
  <c r="L88" i="18" s="1"/>
  <c r="N88" i="18" s="1"/>
  <c r="R88" i="18" s="1"/>
  <c r="I100" i="18"/>
  <c r="J100" i="18" s="1"/>
  <c r="L100" i="18" s="1"/>
  <c r="N100" i="18" s="1"/>
  <c r="R100" i="18" s="1"/>
  <c r="I76" i="18"/>
  <c r="J76" i="18" s="1"/>
  <c r="L76" i="18" s="1"/>
  <c r="N76" i="18" s="1"/>
  <c r="R76" i="18" s="1"/>
  <c r="I78" i="18"/>
  <c r="J78" i="18" s="1"/>
  <c r="L78" i="18" s="1"/>
  <c r="N78" i="18" s="1"/>
  <c r="R78" i="18" s="1"/>
  <c r="I81" i="18"/>
  <c r="J81" i="18" s="1"/>
  <c r="L81" i="18" s="1"/>
  <c r="N81" i="18" s="1"/>
  <c r="R81" i="18" s="1"/>
  <c r="I141" i="18"/>
  <c r="J141" i="18" s="1"/>
  <c r="L141" i="18" s="1"/>
  <c r="N141" i="18" s="1"/>
  <c r="R141" i="18" s="1"/>
  <c r="I155" i="18"/>
  <c r="J155" i="18" s="1"/>
  <c r="L155" i="18" s="1"/>
  <c r="N155" i="18" s="1"/>
  <c r="R155" i="18" s="1"/>
  <c r="I189" i="18"/>
  <c r="J189" i="18" s="1"/>
  <c r="L189" i="18" s="1"/>
  <c r="N189" i="18" s="1"/>
  <c r="R189" i="18" s="1"/>
  <c r="I180" i="18"/>
  <c r="J180" i="18" s="1"/>
  <c r="L180" i="18" s="1"/>
  <c r="N180" i="18" s="1"/>
  <c r="R180" i="18" s="1"/>
  <c r="I157" i="18"/>
  <c r="J157" i="18" s="1"/>
  <c r="L157" i="18" s="1"/>
  <c r="N157" i="18" s="1"/>
  <c r="R157" i="18" s="1"/>
  <c r="I29" i="18"/>
  <c r="J29" i="18" s="1"/>
  <c r="L29" i="18" s="1"/>
  <c r="N29" i="18" s="1"/>
  <c r="R29" i="18" s="1"/>
  <c r="I151" i="18"/>
  <c r="J151" i="18" s="1"/>
  <c r="L151" i="18" s="1"/>
  <c r="N151" i="18" s="1"/>
  <c r="R151" i="18" s="1"/>
  <c r="I159" i="18"/>
  <c r="J159" i="18" s="1"/>
  <c r="L159" i="18" s="1"/>
  <c r="N159" i="18" s="1"/>
  <c r="R159" i="18" s="1"/>
  <c r="I24" i="18"/>
  <c r="J24" i="18" s="1"/>
  <c r="L24" i="18" s="1"/>
  <c r="N24" i="18" s="1"/>
  <c r="R24" i="18" s="1"/>
  <c r="I95" i="18"/>
  <c r="J95" i="18" s="1"/>
  <c r="L95" i="18" s="1"/>
  <c r="N95" i="18" s="1"/>
  <c r="R95" i="18" s="1"/>
  <c r="I85" i="18"/>
  <c r="J85" i="18" s="1"/>
  <c r="L85" i="18" s="1"/>
  <c r="N85" i="18" s="1"/>
  <c r="R85" i="18" s="1"/>
  <c r="I164" i="18"/>
  <c r="J164" i="18" s="1"/>
  <c r="L164" i="18" s="1"/>
  <c r="N164" i="18" s="1"/>
  <c r="R164" i="18" s="1"/>
  <c r="I51" i="18"/>
  <c r="J51" i="18" s="1"/>
  <c r="L51" i="18" s="1"/>
  <c r="N51" i="18" s="1"/>
  <c r="R51" i="18" s="1"/>
  <c r="I82" i="18"/>
  <c r="J82" i="18" s="1"/>
  <c r="L82" i="18" s="1"/>
  <c r="N82" i="18" s="1"/>
  <c r="R82" i="18" s="1"/>
  <c r="I149" i="18"/>
  <c r="J149" i="18" s="1"/>
  <c r="L149" i="18" s="1"/>
  <c r="N149" i="18" s="1"/>
  <c r="R149" i="18" s="1"/>
  <c r="I53" i="18"/>
  <c r="J53" i="18" s="1"/>
  <c r="L53" i="18" s="1"/>
  <c r="N53" i="18" s="1"/>
  <c r="R53" i="18" s="1"/>
  <c r="I65" i="18"/>
  <c r="J65" i="18" s="1"/>
  <c r="L65" i="18" s="1"/>
  <c r="N65" i="18" s="1"/>
  <c r="R65" i="18" s="1"/>
  <c r="I184" i="18"/>
  <c r="J184" i="18" s="1"/>
  <c r="L184" i="18" s="1"/>
  <c r="N184" i="18" s="1"/>
  <c r="R184" i="18" s="1"/>
  <c r="I83" i="18"/>
  <c r="J83" i="18" s="1"/>
  <c r="L83" i="18" s="1"/>
  <c r="N83" i="18" s="1"/>
  <c r="R83" i="18" s="1"/>
  <c r="I31" i="18"/>
  <c r="J31" i="18" s="1"/>
  <c r="L31" i="18" s="1"/>
  <c r="N31" i="18" s="1"/>
  <c r="R31" i="18" s="1"/>
  <c r="I118" i="18"/>
  <c r="J118" i="18" s="1"/>
  <c r="L118" i="18" s="1"/>
  <c r="N118" i="18" s="1"/>
  <c r="R118" i="18" s="1"/>
  <c r="L56" i="18" l="1"/>
  <c r="J13" i="18"/>
  <c r="J14" i="18"/>
  <c r="J212" i="18"/>
  <c r="L20" i="18"/>
  <c r="L212" i="18" l="1"/>
  <c r="L14" i="18"/>
  <c r="N20" i="18"/>
  <c r="N56" i="18"/>
  <c r="L13" i="18"/>
  <c r="R56" i="18" l="1"/>
  <c r="R13" i="18" s="1"/>
  <c r="N13" i="18"/>
  <c r="N14" i="18"/>
  <c r="R20" i="18"/>
  <c r="R212" i="18" l="1"/>
  <c r="R14" i="18"/>
</calcChain>
</file>

<file path=xl/comments1.xml><?xml version="1.0" encoding="utf-8"?>
<comments xmlns="http://schemas.openxmlformats.org/spreadsheetml/2006/main">
  <authors>
    <author>rlp</author>
  </authors>
  <commentList>
    <comment ref="J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(projected) from prev year's template (t-1)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(projected) from prev year's template (t-1)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<sst xmlns="http://schemas.openxmlformats.org/spreadsheetml/2006/main" count="422" uniqueCount="104">
  <si>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</si>
  <si>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</si>
  <si>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</si>
  <si>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</si>
  <si>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</si>
  <si>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</si>
  <si>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</si>
  <si>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</si>
  <si>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</si>
  <si>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</si>
  <si>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</si>
  <si>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</si>
  <si>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</si>
  <si>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</si>
  <si>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</si>
  <si>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</si>
  <si>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</si>
  <si>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</si>
  <si>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</si>
  <si>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</si>
  <si>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</si>
  <si>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</si>
  <si>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</si>
  <si>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</si>
  <si>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</si>
  <si>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</si>
  <si>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</si>
  <si>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</si>
  <si>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</si>
  <si>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</si>
  <si>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</si>
  <si>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</si>
  <si>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</si>
  <si>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</si>
  <si>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</si>
  <si>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</si>
  <si>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</si>
  <si>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</si>
  <si>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</si>
  <si>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</si>
  <si>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</si>
  <si>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True-Up
(</t>
    </r>
    <r>
      <rPr>
        <sz val="10"/>
        <rFont val="Arial"/>
        <family val="2"/>
      </rPr>
      <t>w/o Interest)</t>
    </r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</si>
  <si>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</si>
  <si>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</si>
  <si>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</si>
  <si>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</si>
  <si>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Total
True-Up Surcharge / (Refund)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</si>
  <si>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</si>
  <si>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</si>
  <si>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</si>
  <si>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</si>
  <si>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</si>
  <si>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</si>
  <si>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</si>
  <si>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</si>
  <si>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</si>
  <si>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</si>
  <si>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</si>
  <si>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</si>
  <si>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</si>
  <si>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</si>
  <si>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</si>
  <si>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</si>
  <si>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</si>
  <si>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</si>
  <si>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</si>
  <si>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</si>
  <si>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</si>
  <si>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</si>
  <si>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</si>
  <si>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</si>
  <si>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</si>
  <si>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</si>
  <si>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</si>
  <si>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</si>
  <si>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</si>
  <si>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</si>
  <si>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</si>
  <si>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</si>
  <si>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</si>
  <si>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</si>
  <si>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</si>
  <si>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</si>
  <si>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</si>
  <si>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</si>
  <si>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</si>
  <si>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</si>
  <si>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</si>
  <si>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</si>
  <si>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</si>
  <si>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</si>
  <si>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</si>
  <si>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</si>
  <si>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</si>
  <si>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</si>
  <si>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</si>
  <si>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AEP SOUTHWESTERN TRANSMISSION</t>
  </si>
  <si>
    <t xml:space="preserve">    &lt;&lt; SOUTHWESTERN TRANSMISSION COMPANY &gt;&gt;</t>
  </si>
  <si>
    <t>AEPTCo Formula Rate -- FERC Docket ER18-194</t>
  </si>
  <si>
    <t>2020 True Up Including Interest</t>
  </si>
  <si>
    <t>(H)</t>
  </si>
  <si>
    <t xml:space="preserve"> (I) = (G) + (H)</t>
  </si>
  <si>
    <t>2017 ROE Refund</t>
  </si>
  <si>
    <t>Total NITS Surcharge /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</si>
</sst>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6" xfId="2" applyNumberFormat="1" applyFont="1" applyBorder="1" applyProtection="1"/>
    <xf numFmtId="165" fontId="0" fillId="0" borderId="17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18" xfId="0" applyBorder="1" applyProtection="1"/>
    <xf numFmtId="0" fontId="9" fillId="3" borderId="19" xfId="0" quotePrefix="1" applyFont="1" applyFill="1" applyBorder="1" applyAlignment="1" applyProtection="1">
      <alignment horizontal="left" vertical="center" wrapText="1"/>
    </xf>
    <xf numFmtId="165" fontId="0" fillId="3" borderId="20" xfId="2" applyNumberFormat="1" applyFont="1" applyFill="1" applyBorder="1" applyAlignment="1" applyProtection="1">
      <alignment vertical="center"/>
    </xf>
    <xf numFmtId="165" fontId="0" fillId="3" borderId="21" xfId="2" applyNumberFormat="1" applyFont="1" applyFill="1" applyBorder="1" applyAlignment="1" applyProtection="1">
      <alignment vertical="center"/>
    </xf>
    <xf numFmtId="165" fontId="3" fillId="3" borderId="22" xfId="2" applyNumberFormat="1" applyFont="1" applyFill="1" applyBorder="1" applyAlignment="1" applyProtection="1">
      <alignment vertical="center"/>
    </xf>
    <xf numFmtId="0" fontId="0" fillId="0" borderId="23" xfId="0" quotePrefix="1" applyBorder="1" applyAlignment="1" applyProtection="1">
      <alignment horizontal="left"/>
    </xf>
    <xf numFmtId="0" fontId="0" fillId="0" borderId="24" xfId="0" applyBorder="1" applyProtection="1"/>
    <xf numFmtId="0" fontId="0" fillId="0" borderId="25" xfId="0" applyBorder="1" applyProtection="1"/>
    <xf numFmtId="0" fontId="9" fillId="0" borderId="19" xfId="0" quotePrefix="1" applyFont="1" applyFill="1" applyBorder="1" applyAlignment="1" applyProtection="1">
      <alignment horizontal="left" vertical="center" wrapText="1"/>
    </xf>
    <xf numFmtId="165" fontId="0" fillId="0" borderId="20" xfId="2" applyNumberFormat="1" applyFont="1" applyFill="1" applyBorder="1" applyAlignment="1" applyProtection="1">
      <alignment vertical="center"/>
    </xf>
    <xf numFmtId="165" fontId="0" fillId="0" borderId="21" xfId="2" applyNumberFormat="1" applyFont="1" applyFill="1" applyBorder="1" applyAlignment="1" applyProtection="1">
      <alignment vertical="center"/>
    </xf>
    <xf numFmtId="165" fontId="3" fillId="0" borderId="22" xfId="2" applyNumberFormat="1" applyFont="1" applyFill="1" applyBorder="1" applyAlignment="1" applyProtection="1">
      <alignment vertical="center"/>
    </xf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6" xfId="2" applyNumberFormat="1" applyFont="1" applyBorder="1" applyAlignment="1" applyProtection="1">
      <alignment vertical="center"/>
    </xf>
    <xf numFmtId="165" fontId="0" fillId="0" borderId="27" xfId="2" applyNumberFormat="1" applyFont="1" applyBorder="1" applyAlignment="1" applyProtection="1">
      <alignment vertical="center"/>
    </xf>
    <xf numFmtId="165" fontId="0" fillId="0" borderId="28" xfId="2" applyNumberFormat="1" applyFont="1" applyBorder="1" applyAlignment="1" applyProtection="1">
      <alignment vertical="center"/>
    </xf>
    <xf numFmtId="0" fontId="0" fillId="0" borderId="35" xfId="0" applyBorder="1" applyProtection="1"/>
    <xf numFmtId="0" fontId="0" fillId="0" borderId="36" xfId="0" applyBorder="1" applyProtection="1"/>
    <xf numFmtId="0" fontId="0" fillId="0" borderId="35" xfId="0" pivotButton="1" applyBorder="1" applyProtection="1"/>
    <xf numFmtId="0" fontId="0" fillId="0" borderId="37" xfId="0" applyBorder="1" applyProtection="1"/>
    <xf numFmtId="17" fontId="0" fillId="0" borderId="35" xfId="0" applyNumberFormat="1" applyBorder="1" applyProtection="1"/>
    <xf numFmtId="17" fontId="0" fillId="0" borderId="38" xfId="0" applyNumberFormat="1" applyBorder="1" applyProtection="1"/>
    <xf numFmtId="17" fontId="0" fillId="0" borderId="39" xfId="0" applyNumberFormat="1" applyBorder="1" applyProtection="1"/>
    <xf numFmtId="166" fontId="0" fillId="0" borderId="35" xfId="0" applyNumberFormat="1" applyBorder="1" applyProtection="1"/>
    <xf numFmtId="166" fontId="0" fillId="0" borderId="38" xfId="0" applyNumberFormat="1" applyBorder="1" applyProtection="1"/>
    <xf numFmtId="166" fontId="0" fillId="0" borderId="39" xfId="0" applyNumberFormat="1" applyBorder="1" applyProtection="1"/>
    <xf numFmtId="0" fontId="0" fillId="0" borderId="40" xfId="0" applyBorder="1" applyProtection="1"/>
    <xf numFmtId="166" fontId="0" fillId="0" borderId="40" xfId="0" applyNumberFormat="1" applyBorder="1" applyProtection="1"/>
    <xf numFmtId="166" fontId="0" fillId="0" borderId="0" xfId="0" applyNumberFormat="1" applyProtection="1"/>
    <xf numFmtId="166" fontId="0" fillId="0" borderId="41" xfId="0" applyNumberFormat="1" applyBorder="1" applyProtection="1"/>
    <xf numFmtId="0" fontId="0" fillId="0" borderId="42" xfId="0" applyBorder="1" applyProtection="1"/>
    <xf numFmtId="166" fontId="0" fillId="0" borderId="42" xfId="0" applyNumberFormat="1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quotePrefix="1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29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0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0" xfId="0" quotePrefix="1" applyBorder="1" applyAlignment="1" applyProtection="1">
      <alignment horizontal="right"/>
    </xf>
    <xf numFmtId="0" fontId="0" fillId="0" borderId="21" xfId="0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</xf>
    <xf numFmtId="164" fontId="3" fillId="0" borderId="31" xfId="0" applyNumberFormat="1" applyFont="1" applyBorder="1" applyAlignment="1" applyProtection="1">
      <alignment horizontal="right"/>
    </xf>
    <xf numFmtId="167" fontId="0" fillId="0" borderId="21" xfId="0" applyNumberFormat="1" applyBorder="1" applyAlignment="1" applyProtection="1">
      <alignment horizontal="center"/>
    </xf>
    <xf numFmtId="167" fontId="0" fillId="4" borderId="31" xfId="0" applyNumberFormat="1" applyFill="1" applyBorder="1" applyAlignment="1" applyProtection="1">
      <alignment horizontal="center"/>
    </xf>
    <xf numFmtId="167" fontId="0" fillId="0" borderId="32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4" fontId="1" fillId="0" borderId="16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0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0" xfId="0" applyNumberFormat="1" applyFont="1" applyBorder="1" applyAlignment="1" applyProtection="1">
      <alignment horizontal="center"/>
    </xf>
    <xf numFmtId="14" fontId="0" fillId="0" borderId="16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0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3" xfId="0" quotePrefix="1" applyFont="1" applyBorder="1" applyAlignment="1" applyProtection="1">
      <alignment horizontal="center"/>
    </xf>
    <xf numFmtId="164" fontId="4" fillId="0" borderId="20" xfId="0" quotePrefix="1" applyNumberFormat="1" applyFont="1" applyBorder="1" applyAlignment="1" applyProtection="1">
      <alignment horizontal="center" vertical="center" wrapText="1"/>
    </xf>
    <xf numFmtId="164" fontId="4" fillId="0" borderId="21" xfId="0" quotePrefix="1" applyNumberFormat="1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left" vertical="center"/>
    </xf>
    <xf numFmtId="0" fontId="4" fillId="0" borderId="21" xfId="0" quotePrefix="1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1" xfId="0" quotePrefix="1" applyFont="1" applyBorder="1" applyAlignment="1" applyProtection="1">
      <alignment horizontal="center" vertical="center" wrapText="1"/>
    </xf>
    <xf numFmtId="164" fontId="4" fillId="5" borderId="21" xfId="0" quotePrefix="1" applyNumberFormat="1" applyFont="1" applyFill="1" applyBorder="1" applyAlignment="1" applyProtection="1">
      <alignment horizontal="center" vertical="center" wrapText="1"/>
    </xf>
    <xf numFmtId="164" fontId="4" fillId="0" borderId="21" xfId="0" applyNumberFormat="1" applyFont="1" applyBorder="1" applyAlignment="1" applyProtection="1">
      <alignment horizontal="center" vertical="center" wrapText="1"/>
    </xf>
    <xf numFmtId="164" fontId="4" fillId="0" borderId="32" xfId="0" applyNumberFormat="1" applyFont="1" applyBorder="1" applyAlignment="1" applyProtection="1">
      <alignment horizontal="center" vertical="center" wrapText="1"/>
    </xf>
    <xf numFmtId="164" fontId="4" fillId="0" borderId="33" xfId="0" applyNumberFormat="1" applyFont="1" applyBorder="1" applyAlignment="1" applyProtection="1">
      <alignment horizontal="center" vertical="center" wrapText="1"/>
    </xf>
    <xf numFmtId="164" fontId="4" fillId="0" borderId="25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24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4" xfId="0" applyNumberFormat="1" applyBorder="1" applyAlignment="1" applyProtection="1">
      <alignment horizontal="center"/>
    </xf>
    <xf numFmtId="14" fontId="1" fillId="0" borderId="34" xfId="0" applyNumberFormat="1" applyFont="1" applyFill="1" applyBorder="1" applyProtection="1"/>
    <xf numFmtId="14" fontId="7" fillId="2" borderId="34" xfId="0" applyNumberFormat="1" applyFont="1" applyFill="1" applyBorder="1" applyAlignment="1" applyProtection="1">
      <alignment horizontal="left"/>
    </xf>
    <xf numFmtId="0" fontId="0" fillId="0" borderId="34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4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24" xfId="0" applyNumberForma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45" xfId="0" applyBorder="1" applyProtection="1"/>
    <xf numFmtId="0" fontId="0" fillId="0" borderId="46" xfId="0" applyBorder="1" applyProtection="1"/>
    <xf numFmtId="167" fontId="0" fillId="0" borderId="0" xfId="0" applyNumberFormat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166" fontId="25" fillId="0" borderId="40" xfId="0" applyNumberFormat="1" applyFont="1" applyBorder="1" applyProtection="1"/>
    <xf numFmtId="166" fontId="25" fillId="0" borderId="0" xfId="0" applyNumberFormat="1" applyFont="1" applyProtection="1"/>
    <xf numFmtId="166" fontId="25" fillId="0" borderId="41" xfId="0" applyNumberFormat="1" applyFont="1" applyBorder="1" applyProtection="1"/>
    <xf numFmtId="166" fontId="25" fillId="0" borderId="35" xfId="0" applyNumberFormat="1" applyFont="1" applyBorder="1" applyProtection="1"/>
    <xf numFmtId="166" fontId="25" fillId="0" borderId="38" xfId="0" applyNumberFormat="1" applyFont="1" applyBorder="1" applyProtection="1"/>
    <xf numFmtId="166" fontId="25" fillId="0" borderId="39" xfId="0" applyNumberFormat="1" applyFont="1" applyBorder="1" applyProtection="1"/>
    <xf numFmtId="167" fontId="7" fillId="6" borderId="31" xfId="0" applyNumberFormat="1" applyFont="1" applyFill="1" applyBorder="1" applyAlignment="1" applyProtection="1">
      <alignment horizont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1" fillId="0" borderId="0" xfId="0" quotePrefix="1" applyNumberFormat="1" applyFont="1" applyProtection="1"/>
    <xf numFmtId="0" fontId="3" fillId="0" borderId="47" xfId="0" quotePrefix="1" applyFont="1" applyBorder="1" applyAlignment="1" applyProtection="1">
      <alignment horizontal="center" vertical="center" wrapText="1"/>
    </xf>
    <xf numFmtId="0" fontId="3" fillId="0" borderId="29" xfId="0" quotePrefix="1" applyFont="1" applyBorder="1" applyAlignment="1" applyProtection="1">
      <alignment horizontal="center" vertical="center" wrapText="1"/>
    </xf>
    <xf numFmtId="165" fontId="0" fillId="0" borderId="24" xfId="2" applyNumberFormat="1" applyFont="1" applyBorder="1" applyProtection="1"/>
    <xf numFmtId="165" fontId="0" fillId="0" borderId="11" xfId="2" applyNumberFormat="1" applyFont="1" applyBorder="1" applyProtection="1"/>
    <xf numFmtId="165" fontId="3" fillId="3" borderId="31" xfId="2" applyNumberFormat="1" applyFont="1" applyFill="1" applyBorder="1" applyAlignment="1" applyProtection="1">
      <alignment vertical="center"/>
    </xf>
    <xf numFmtId="165" fontId="3" fillId="3" borderId="48" xfId="2" applyNumberFormat="1" applyFont="1" applyFill="1" applyBorder="1" applyAlignment="1" applyProtection="1">
      <alignment vertical="center"/>
    </xf>
    <xf numFmtId="165" fontId="3" fillId="0" borderId="31" xfId="2" applyNumberFormat="1" applyFont="1" applyFill="1" applyBorder="1" applyAlignment="1" applyProtection="1">
      <alignment vertical="center"/>
    </xf>
    <xf numFmtId="165" fontId="3" fillId="0" borderId="48" xfId="2" applyNumberFormat="1" applyFont="1" applyFill="1" applyBorder="1" applyAlignment="1" applyProtection="1">
      <alignment vertical="center"/>
    </xf>
    <xf numFmtId="165" fontId="0" fillId="0" borderId="49" xfId="2" applyNumberFormat="1" applyFont="1" applyBorder="1" applyAlignment="1" applyProtection="1">
      <alignment vertical="center"/>
    </xf>
    <xf numFmtId="165" fontId="0" fillId="0" borderId="50" xfId="2" applyNumberFormat="1" applyFont="1" applyBorder="1" applyAlignment="1" applyProtection="1">
      <alignment vertical="center"/>
    </xf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177040" refreshedDate="44340.662989930555" createdVersion="6" refreshedVersion="6" recordCount="192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0-12-02T00:00:00" count="132"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0-02-05T00:00:00" maxDate="2021-01-07T00:00:00"/>
    </cacheField>
    <cacheField name="Payment Received*" numFmtId="14">
      <sharedItems containsSemiMixedTypes="0" containsNonDate="0" containsDate="1" containsString="0" minDate="2020-02-24T00:00:00" maxDate="2021-01-26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3873"/>
    </cacheField>
    <cacheField name="Projected Rate (as Invoiced)" numFmtId="164">
      <sharedItems containsSemiMixedTypes="0" containsString="0" containsNumber="1" minValue="3.32" maxValue="3.32"/>
    </cacheField>
    <cacheField name="Actual True-Up Rate" numFmtId="164">
      <sharedItems containsSemiMixedTypes="0" containsString="0" containsNumber="1" minValue="1.0507166145491278" maxValue="1.0507166145491278"/>
    </cacheField>
    <cacheField name="True-Up Charge" numFmtId="164">
      <sharedItems containsSemiMixedTypes="0" containsString="0" containsNumber="1" minValue="1.0507166145491278" maxValue="4069.4254481487719"/>
    </cacheField>
    <cacheField name="Invoiced*** Charge (proj.)" numFmtId="164">
      <sharedItems containsSemiMixedTypes="0" containsString="0" containsNumber="1" minValue="3.32" maxValue="12858.359999999999"/>
    </cacheField>
    <cacheField name="True-Up w/o Interest" numFmtId="164">
      <sharedItems containsSemiMixedTypes="0" containsString="0" containsNumber="1" minValue="-8788.9345518512273" maxValue="-2.2692833854508718"/>
    </cacheField>
    <cacheField name="Interest" numFmtId="164">
      <sharedItems containsSemiMixedTypes="0" containsString="0" containsNumber="1" minValue="-294.57381352942815" maxValue="-7.6058304551879202E-2"/>
    </cacheField>
    <cacheField name="2020 True Up Including Interest" numFmtId="164">
      <sharedItems containsSemiMixedTypes="0" containsString="0" containsNumber="1" minValue="-9083.508365380656" maxValue="-2.3453416900027508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9083.508365380656" maxValue="-2.34534169000275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d v="2020-02-05T00:00:00"/>
    <d v="2020-02-24T00:00:00"/>
    <x v="0"/>
    <n v="9"/>
    <n v="2580"/>
    <n v="3.32"/>
    <n v="1.0507166145491278"/>
    <n v="2710.8488655367496"/>
    <n v="8565.6"/>
    <n v="-5854.7511344632512"/>
    <n v="-196.23042574384834"/>
    <n v="-6050.9815602070994"/>
    <n v="0"/>
    <n v="0"/>
    <n v="0"/>
    <n v="-6050.9815602070994"/>
  </r>
  <r>
    <x v="1"/>
    <d v="2020-03-04T00:00:00"/>
    <d v="2020-03-24T00:00:00"/>
    <x v="0"/>
    <n v="9"/>
    <n v="2548"/>
    <n v="3.32"/>
    <n v="1.0507166145491278"/>
    <n v="2677.2259338711774"/>
    <n v="8459.3599999999988"/>
    <n v="-5782.1340661288214"/>
    <n v="-193.79655999818823"/>
    <n v="-5975.9306261270094"/>
    <n v="0"/>
    <n v="0"/>
    <n v="0"/>
    <n v="-5975.9306261270094"/>
  </r>
  <r>
    <x v="2"/>
    <d v="2020-04-03T00:00:00"/>
    <d v="2020-04-24T00:00:00"/>
    <x v="0"/>
    <n v="9"/>
    <n v="2505"/>
    <n v="3.32"/>
    <n v="1.0507166145491278"/>
    <n v="2632.045119445565"/>
    <n v="8316.6"/>
    <n v="-5684.5548805544349"/>
    <n v="-190.52605290245742"/>
    <n v="-5875.0809334568921"/>
    <n v="0"/>
    <n v="0"/>
    <n v="0"/>
    <n v="-5875.0809334568921"/>
  </r>
  <r>
    <x v="3"/>
    <d v="2020-05-05T00:00:00"/>
    <d v="2020-05-25T00:00:00"/>
    <x v="0"/>
    <n v="9"/>
    <n v="2636"/>
    <n v="3.32"/>
    <n v="1.0507166145491278"/>
    <n v="2769.6889959515011"/>
    <n v="8751.52"/>
    <n v="-5981.8310040484994"/>
    <n v="-200.4896907987536"/>
    <n v="-6182.3206948472525"/>
    <n v="0"/>
    <n v="0"/>
    <n v="0"/>
    <n v="-6182.3206948472525"/>
  </r>
  <r>
    <x v="4"/>
    <d v="2020-06-03T00:00:00"/>
    <d v="2020-06-24T00:00:00"/>
    <x v="0"/>
    <n v="9"/>
    <n v="2911"/>
    <n v="3.32"/>
    <n v="1.0507166145491278"/>
    <n v="3058.6360649525109"/>
    <n v="9664.52"/>
    <n v="-6605.88393504749"/>
    <n v="-221.40572455052038"/>
    <n v="-6827.2896595980101"/>
    <n v="0"/>
    <n v="0"/>
    <n v="0"/>
    <n v="-6827.2896595980101"/>
  </r>
  <r>
    <x v="5"/>
    <d v="2020-07-03T00:00:00"/>
    <d v="2020-07-24T00:00:00"/>
    <x v="0"/>
    <n v="9"/>
    <n v="3504"/>
    <n v="3.32"/>
    <n v="1.0507166145491278"/>
    <n v="3681.7110173801439"/>
    <n v="11633.279999999999"/>
    <n v="-7951.568982619855"/>
    <n v="-266.5082991497847"/>
    <n v="-8218.0772817696397"/>
    <n v="0"/>
    <n v="0"/>
    <n v="0"/>
    <n v="-8218.0772817696397"/>
  </r>
  <r>
    <x v="6"/>
    <d v="2020-08-05T00:00:00"/>
    <d v="2020-08-24T00:00:00"/>
    <x v="0"/>
    <n v="9"/>
    <n v="3724"/>
    <n v="3.32"/>
    <n v="1.0507166145491278"/>
    <n v="3912.8686725809521"/>
    <n v="12363.68"/>
    <n v="-8450.8113274190473"/>
    <n v="-283.24112615119816"/>
    <n v="-8734.0524535702461"/>
    <n v="0"/>
    <n v="0"/>
    <n v="0"/>
    <n v="-8734.0524535702461"/>
  </r>
  <r>
    <x v="7"/>
    <d v="2020-09-03T00:00:00"/>
    <d v="2020-09-24T00:00:00"/>
    <x v="0"/>
    <n v="9"/>
    <n v="3873"/>
    <n v="3.32"/>
    <n v="1.0507166145491278"/>
    <n v="4069.4254481487719"/>
    <n v="12858.359999999999"/>
    <n v="-8788.9345518512273"/>
    <n v="-294.57381352942815"/>
    <n v="-9083.508365380656"/>
    <n v="0"/>
    <n v="0"/>
    <n v="0"/>
    <n v="-9083.508365380656"/>
  </r>
  <r>
    <x v="8"/>
    <d v="2020-10-05T00:00:00"/>
    <d v="2020-10-26T00:00:00"/>
    <x v="0"/>
    <n v="9"/>
    <n v="3349"/>
    <n v="3.32"/>
    <n v="1.0507166145491278"/>
    <n v="3518.849942125029"/>
    <n v="11118.68"/>
    <n v="-7599.8300578749713"/>
    <n v="-254.71926194424347"/>
    <n v="-7854.5493198192144"/>
    <n v="0"/>
    <n v="0"/>
    <n v="0"/>
    <n v="-7854.5493198192144"/>
  </r>
  <r>
    <x v="9"/>
    <d v="2020-11-04T00:00:00"/>
    <d v="2020-11-24T00:00:00"/>
    <x v="0"/>
    <n v="9"/>
    <n v="2789"/>
    <n v="3.32"/>
    <n v="1.0507166145491278"/>
    <n v="2930.4486379775176"/>
    <n v="9259.48"/>
    <n v="-6329.0313620224824"/>
    <n v="-212.12661139519111"/>
    <n v="-6541.1579734176739"/>
    <n v="0"/>
    <n v="0"/>
    <n v="0"/>
    <n v="-6541.1579734176739"/>
  </r>
  <r>
    <x v="10"/>
    <d v="2020-12-03T00:00:00"/>
    <d v="2020-12-24T00:00:00"/>
    <x v="0"/>
    <n v="9"/>
    <n v="2382"/>
    <n v="3.32"/>
    <n v="1.0507166145491278"/>
    <n v="2502.8069758560223"/>
    <n v="7908.24"/>
    <n v="-5405.4330241439775"/>
    <n v="-181.17088144257627"/>
    <n v="-5586.603905586554"/>
    <n v="0"/>
    <n v="0"/>
    <n v="0"/>
    <n v="-5586.603905586554"/>
  </r>
  <r>
    <x v="11"/>
    <d v="2021-01-06T00:00:00"/>
    <d v="2021-01-25T00:00:00"/>
    <x v="0"/>
    <n v="9"/>
    <n v="2513"/>
    <n v="3.32"/>
    <n v="1.0507166145491278"/>
    <n v="2640.4508523619584"/>
    <n v="8343.16"/>
    <n v="-5702.709147638041"/>
    <n v="-191.13451933887245"/>
    <n v="-5893.8436669769135"/>
    <n v="0"/>
    <n v="0"/>
    <n v="0"/>
    <n v="-5893.8436669769135"/>
  </r>
  <r>
    <x v="0"/>
    <d v="2020-02-05T00:00:00"/>
    <d v="2020-02-24T00:00:00"/>
    <x v="1"/>
    <n v="9"/>
    <n v="2664"/>
    <n v="3.32"/>
    <n v="1.0507166145491278"/>
    <n v="2799.1090611588766"/>
    <n v="8844.48"/>
    <n v="-6045.3709388411226"/>
    <n v="-202.61932332620623"/>
    <n v="-6247.9902621673291"/>
    <n v="0"/>
    <n v="0"/>
    <n v="0"/>
    <n v="-6247.9902621673291"/>
  </r>
  <r>
    <x v="1"/>
    <d v="2020-03-04T00:00:00"/>
    <d v="2020-03-24T00:00:00"/>
    <x v="1"/>
    <n v="9"/>
    <n v="2798"/>
    <n v="3.32"/>
    <n v="1.0507166145491278"/>
    <n v="2939.9050875084595"/>
    <n v="9289.3599999999988"/>
    <n v="-6349.4549124915393"/>
    <n v="-212.81113613615801"/>
    <n v="-6562.2660486276973"/>
    <n v="0"/>
    <n v="0"/>
    <n v="0"/>
    <n v="-6562.2660486276973"/>
  </r>
  <r>
    <x v="2"/>
    <d v="2020-04-03T00:00:00"/>
    <d v="2020-04-24T00:00:00"/>
    <x v="1"/>
    <n v="9"/>
    <n v="2422"/>
    <n v="3.32"/>
    <n v="1.0507166145491278"/>
    <n v="2544.8356404379874"/>
    <n v="8041.04"/>
    <n v="-5496.2043595620125"/>
    <n v="-184.21321362465144"/>
    <n v="-5680.4175731866644"/>
    <n v="0"/>
    <n v="0"/>
    <n v="0"/>
    <n v="-5680.4175731866644"/>
  </r>
  <r>
    <x v="3"/>
    <d v="2020-05-05T00:00:00"/>
    <d v="2020-05-25T00:00:00"/>
    <x v="1"/>
    <n v="9"/>
    <n v="2569"/>
    <n v="3.32"/>
    <n v="1.0507166145491278"/>
    <n v="2699.2909827767094"/>
    <n v="8529.08"/>
    <n v="-5829.789017223291"/>
    <n v="-195.39378439377768"/>
    <n v="-6025.1828016170684"/>
    <n v="0"/>
    <n v="0"/>
    <n v="0"/>
    <n v="-6025.1828016170684"/>
  </r>
  <r>
    <x v="4"/>
    <d v="2020-06-03T00:00:00"/>
    <d v="2020-06-24T00:00:00"/>
    <x v="1"/>
    <n v="9"/>
    <n v="2598"/>
    <n v="3.32"/>
    <n v="1.0507166145491278"/>
    <n v="2729.7617645986338"/>
    <n v="8625.3599999999988"/>
    <n v="-5895.5982354013649"/>
    <n v="-197.59947522578216"/>
    <n v="-6093.197710627147"/>
    <n v="0"/>
    <n v="0"/>
    <n v="0"/>
    <n v="-6093.197710627147"/>
  </r>
  <r>
    <x v="5"/>
    <d v="2020-07-03T00:00:00"/>
    <d v="2020-07-24T00:00:00"/>
    <x v="1"/>
    <n v="9"/>
    <n v="3167"/>
    <n v="3.32"/>
    <n v="1.0507166145491278"/>
    <n v="3327.6195182770875"/>
    <n v="10514.439999999999"/>
    <n v="-7186.8204817229107"/>
    <n v="-240.87665051580146"/>
    <n v="-7427.6971322387126"/>
    <n v="0"/>
    <n v="0"/>
    <n v="0"/>
    <n v="-7427.6971322387126"/>
  </r>
  <r>
    <x v="6"/>
    <d v="2020-08-05T00:00:00"/>
    <d v="2020-08-24T00:00:00"/>
    <x v="1"/>
    <n v="9"/>
    <n v="3376"/>
    <n v="3.32"/>
    <n v="1.0507166145491278"/>
    <n v="3547.2192907178555"/>
    <n v="11208.32"/>
    <n v="-7661.1007092821437"/>
    <n v="-256.77283616714419"/>
    <n v="-7917.873545449288"/>
    <n v="0"/>
    <n v="0"/>
    <n v="0"/>
    <n v="-7917.873545449288"/>
  </r>
  <r>
    <x v="7"/>
    <d v="2020-09-03T00:00:00"/>
    <d v="2020-09-24T00:00:00"/>
    <x v="1"/>
    <n v="9"/>
    <n v="3459"/>
    <n v="3.32"/>
    <n v="1.0507166145491278"/>
    <n v="3634.4287697254331"/>
    <n v="11483.88"/>
    <n v="-7849.4512302745661"/>
    <n v="-263.0856754449502"/>
    <n v="-8112.5369057195167"/>
    <n v="0"/>
    <n v="0"/>
    <n v="0"/>
    <n v="-8112.5369057195167"/>
  </r>
  <r>
    <x v="8"/>
    <d v="2020-10-05T00:00:00"/>
    <d v="2020-10-26T00:00:00"/>
    <x v="1"/>
    <n v="9"/>
    <n v="3173"/>
    <n v="3.32"/>
    <n v="1.0507166145491278"/>
    <n v="3333.9238179643826"/>
    <n v="10534.359999999999"/>
    <n v="-7200.4361820356162"/>
    <n v="-241.33300034311273"/>
    <n v="-7441.7691823787291"/>
    <n v="0"/>
    <n v="0"/>
    <n v="0"/>
    <n v="-7441.7691823787291"/>
  </r>
  <r>
    <x v="9"/>
    <d v="2020-11-04T00:00:00"/>
    <d v="2020-11-24T00:00:00"/>
    <x v="1"/>
    <n v="9"/>
    <n v="2561"/>
    <n v="3.32"/>
    <n v="1.0507166145491278"/>
    <n v="2690.8852498603164"/>
    <n v="8502.52"/>
    <n v="-5811.634750139684"/>
    <n v="-194.78531795736265"/>
    <n v="-6006.4200680970471"/>
    <n v="0"/>
    <n v="0"/>
    <n v="0"/>
    <n v="-6006.4200680970471"/>
  </r>
  <r>
    <x v="10"/>
    <d v="2020-12-03T00:00:00"/>
    <d v="2020-12-24T00:00:00"/>
    <x v="1"/>
    <n v="9"/>
    <n v="2357"/>
    <n v="3.32"/>
    <n v="1.0507166145491278"/>
    <n v="2476.5390604922941"/>
    <n v="7825.24"/>
    <n v="-5348.7009395077057"/>
    <n v="-179.26942382877931"/>
    <n v="-5527.9703633364852"/>
    <n v="0"/>
    <n v="0"/>
    <n v="0"/>
    <n v="-5527.9703633364852"/>
  </r>
  <r>
    <x v="11"/>
    <d v="2021-01-06T00:00:00"/>
    <d v="2021-01-25T00:00:00"/>
    <x v="1"/>
    <n v="9"/>
    <n v="2731"/>
    <n v="3.32"/>
    <n v="1.0507166145491278"/>
    <n v="2869.5070743336678"/>
    <n v="9066.92"/>
    <n v="-6197.4129256663327"/>
    <n v="-207.71522973118209"/>
    <n v="-6405.128155397515"/>
    <n v="0"/>
    <n v="0"/>
    <n v="0"/>
    <n v="-6405.128155397515"/>
  </r>
  <r>
    <x v="0"/>
    <d v="2020-02-05T00:00:00"/>
    <d v="2020-02-24T00:00:00"/>
    <x v="2"/>
    <n v="9"/>
    <n v="145"/>
    <n v="3.32"/>
    <n v="1.0507166145491278"/>
    <n v="152.35390910962354"/>
    <n v="481.4"/>
    <n v="-329.04609089037643"/>
    <n v="-11.028454160022484"/>
    <n v="-340.07454505039891"/>
    <n v="0"/>
    <n v="0"/>
    <n v="0"/>
    <n v="-340.07454505039891"/>
  </r>
  <r>
    <x v="1"/>
    <d v="2020-03-04T00:00:00"/>
    <d v="2020-03-24T00:00:00"/>
    <x v="2"/>
    <n v="9"/>
    <n v="146"/>
    <n v="3.32"/>
    <n v="1.0507166145491278"/>
    <n v="153.40462572417266"/>
    <n v="484.71999999999997"/>
    <n v="-331.31537427582731"/>
    <n v="-11.104512464574364"/>
    <n v="-342.41988674040169"/>
    <n v="0"/>
    <n v="0"/>
    <n v="0"/>
    <n v="-342.41988674040169"/>
  </r>
  <r>
    <x v="2"/>
    <d v="2020-04-03T00:00:00"/>
    <d v="2020-04-24T00:00:00"/>
    <x v="2"/>
    <n v="9"/>
    <n v="97"/>
    <n v="3.32"/>
    <n v="1.0507166145491278"/>
    <n v="101.91951161126539"/>
    <n v="322.03999999999996"/>
    <n v="-220.12048838873457"/>
    <n v="-7.3776555415322829"/>
    <n v="-227.49814393026685"/>
    <n v="0"/>
    <n v="0"/>
    <n v="0"/>
    <n v="-227.49814393026685"/>
  </r>
  <r>
    <x v="3"/>
    <d v="2020-05-05T00:00:00"/>
    <d v="2020-05-25T00:00:00"/>
    <x v="2"/>
    <n v="9"/>
    <n v="94"/>
    <n v="3.32"/>
    <n v="1.0507166145491278"/>
    <n v="98.767361767618013"/>
    <n v="312.08"/>
    <n v="-213.31263823238197"/>
    <n v="-7.1494806278766463"/>
    <n v="-220.46211886025861"/>
    <n v="0"/>
    <n v="0"/>
    <n v="0"/>
    <n v="-220.46211886025861"/>
  </r>
  <r>
    <x v="4"/>
    <d v="2020-06-03T00:00:00"/>
    <d v="2020-06-24T00:00:00"/>
    <x v="2"/>
    <n v="9"/>
    <n v="106"/>
    <n v="3.32"/>
    <n v="1.0507166145491278"/>
    <n v="111.37596114220754"/>
    <n v="351.91999999999996"/>
    <n v="-240.54403885779243"/>
    <n v="-8.062180282499197"/>
    <n v="-248.60621914029161"/>
    <n v="0"/>
    <n v="0"/>
    <n v="0"/>
    <n v="-248.60621914029161"/>
  </r>
  <r>
    <x v="5"/>
    <d v="2020-07-03T00:00:00"/>
    <d v="2020-07-24T00:00:00"/>
    <x v="2"/>
    <n v="9"/>
    <n v="132"/>
    <n v="3.32"/>
    <n v="1.0507166145491278"/>
    <n v="138.69459312048488"/>
    <n v="438.23999999999995"/>
    <n v="-299.5454068795151"/>
    <n v="-10.039696200848056"/>
    <n v="-309.58510308036318"/>
    <n v="0"/>
    <n v="0"/>
    <n v="0"/>
    <n v="-309.58510308036318"/>
  </r>
  <r>
    <x v="6"/>
    <d v="2020-08-05T00:00:00"/>
    <d v="2020-08-24T00:00:00"/>
    <x v="2"/>
    <n v="9"/>
    <n v="139"/>
    <n v="3.32"/>
    <n v="1.0507166145491278"/>
    <n v="146.04960942232876"/>
    <n v="461.47999999999996"/>
    <n v="-315.43039057767123"/>
    <n v="-10.572104332711209"/>
    <n v="-326.00249491038244"/>
    <n v="0"/>
    <n v="0"/>
    <n v="0"/>
    <n v="-326.00249491038244"/>
  </r>
  <r>
    <x v="7"/>
    <d v="2020-09-03T00:00:00"/>
    <d v="2020-09-24T00:00:00"/>
    <x v="2"/>
    <n v="9"/>
    <n v="136"/>
    <n v="3.32"/>
    <n v="1.0507166145491278"/>
    <n v="142.89745957868138"/>
    <n v="451.52"/>
    <n v="-308.6225404213186"/>
    <n v="-10.343929419055572"/>
    <n v="-318.9664698403742"/>
    <n v="0"/>
    <n v="0"/>
    <n v="0"/>
    <n v="-318.9664698403742"/>
  </r>
  <r>
    <x v="8"/>
    <d v="2020-10-05T00:00:00"/>
    <d v="2020-10-26T00:00:00"/>
    <x v="2"/>
    <n v="9"/>
    <n v="116"/>
    <n v="3.32"/>
    <n v="1.0507166145491278"/>
    <n v="121.88312728769883"/>
    <n v="385.12"/>
    <n v="-263.23687271230119"/>
    <n v="-8.822763328017988"/>
    <n v="-272.05963604031916"/>
    <n v="0"/>
    <n v="0"/>
    <n v="0"/>
    <n v="-272.05963604031916"/>
  </r>
  <r>
    <x v="9"/>
    <d v="2020-11-04T00:00:00"/>
    <d v="2020-11-24T00:00:00"/>
    <x v="2"/>
    <n v="9"/>
    <n v="78"/>
    <n v="3.32"/>
    <n v="1.0507166145491278"/>
    <n v="81.955895934831972"/>
    <n v="258.95999999999998"/>
    <n v="-177.00410406516801"/>
    <n v="-5.9325477550465777"/>
    <n v="-182.93665182021459"/>
    <n v="0"/>
    <n v="0"/>
    <n v="0"/>
    <n v="-182.93665182021459"/>
  </r>
  <r>
    <x v="10"/>
    <d v="2020-12-03T00:00:00"/>
    <d v="2020-12-24T00:00:00"/>
    <x v="2"/>
    <n v="9"/>
    <n v="109"/>
    <n v="3.32"/>
    <n v="1.0507166145491278"/>
    <n v="114.52811098585492"/>
    <n v="361.88"/>
    <n v="-247.35188901414506"/>
    <n v="-8.2903551961548327"/>
    <n v="-255.64224421029988"/>
    <n v="0"/>
    <n v="0"/>
    <n v="0"/>
    <n v="-255.64224421029988"/>
  </r>
  <r>
    <x v="11"/>
    <d v="2021-01-06T00:00:00"/>
    <d v="2021-01-25T00:00:00"/>
    <x v="2"/>
    <n v="9"/>
    <n v="143"/>
    <n v="3.32"/>
    <n v="1.0507166145491278"/>
    <n v="150.25247588052528"/>
    <n v="474.76"/>
    <n v="-324.50752411947474"/>
    <n v="-10.876337550918727"/>
    <n v="-335.38386167039346"/>
    <n v="0"/>
    <n v="0"/>
    <n v="0"/>
    <n v="-335.38386167039346"/>
  </r>
  <r>
    <x v="0"/>
    <d v="2020-02-05T00:00:00"/>
    <d v="2020-02-24T00:00:00"/>
    <x v="3"/>
    <n v="9"/>
    <n v="753"/>
    <n v="3.32"/>
    <n v="1.0507166145491278"/>
    <n v="791.18961075549328"/>
    <n v="2499.96"/>
    <n v="-1708.7703892445068"/>
    <n v="-57.271903327565042"/>
    <n v="-1766.0422925720718"/>
    <n v="0"/>
    <n v="0"/>
    <n v="0"/>
    <n v="-1766.0422925720718"/>
  </r>
  <r>
    <x v="1"/>
    <d v="2020-03-04T00:00:00"/>
    <d v="2020-03-24T00:00:00"/>
    <x v="3"/>
    <n v="9"/>
    <n v="715"/>
    <n v="3.32"/>
    <n v="1.0507166145491278"/>
    <n v="751.26237940262638"/>
    <n v="2373.7999999999997"/>
    <n v="-1622.5376205973735"/>
    <n v="-54.381687754593635"/>
    <n v="-1676.9193083519672"/>
    <n v="0"/>
    <n v="0"/>
    <n v="0"/>
    <n v="-1676.9193083519672"/>
  </r>
  <r>
    <x v="2"/>
    <d v="2020-04-03T00:00:00"/>
    <d v="2020-04-24T00:00:00"/>
    <x v="3"/>
    <n v="9"/>
    <n v="510"/>
    <n v="3.32"/>
    <n v="1.0507166145491278"/>
    <n v="535.8654734200552"/>
    <n v="1693.1999999999998"/>
    <n v="-1157.3345265799446"/>
    <n v="-38.789735321458394"/>
    <n v="-1196.1242619014031"/>
    <n v="0"/>
    <n v="0"/>
    <n v="0"/>
    <n v="-1196.1242619014031"/>
  </r>
  <r>
    <x v="3"/>
    <d v="2020-05-05T00:00:00"/>
    <d v="2020-05-25T00:00:00"/>
    <x v="3"/>
    <n v="9"/>
    <n v="615"/>
    <n v="3.32"/>
    <n v="1.0507166145491278"/>
    <n v="646.19071794771355"/>
    <n v="2041.8"/>
    <n v="-1395.6092820522863"/>
    <n v="-46.775857299405708"/>
    <n v="-1442.385139351692"/>
    <n v="0"/>
    <n v="0"/>
    <n v="0"/>
    <n v="-1442.385139351692"/>
  </r>
  <r>
    <x v="4"/>
    <d v="2020-06-03T00:00:00"/>
    <d v="2020-06-24T00:00:00"/>
    <x v="3"/>
    <n v="9"/>
    <n v="551"/>
    <n v="3.32"/>
    <n v="1.0507166145491278"/>
    <n v="578.94485461656939"/>
    <n v="1829.32"/>
    <n v="-1250.3751453834307"/>
    <n v="-41.908125808085437"/>
    <n v="-1292.2832711915162"/>
    <n v="0"/>
    <n v="0"/>
    <n v="0"/>
    <n v="-1292.2832711915162"/>
  </r>
  <r>
    <x v="5"/>
    <d v="2020-07-03T00:00:00"/>
    <d v="2020-07-24T00:00:00"/>
    <x v="3"/>
    <n v="9"/>
    <n v="815"/>
    <n v="3.32"/>
    <n v="1.0507166145491278"/>
    <n v="856.33404085753909"/>
    <n v="2705.7999999999997"/>
    <n v="-1849.4659591424606"/>
    <n v="-61.987518209781548"/>
    <n v="-1911.4534773522421"/>
    <n v="0"/>
    <n v="0"/>
    <n v="0"/>
    <n v="-1911.4534773522421"/>
  </r>
  <r>
    <x v="6"/>
    <d v="2020-08-05T00:00:00"/>
    <d v="2020-08-24T00:00:00"/>
    <x v="3"/>
    <n v="9"/>
    <n v="816"/>
    <n v="3.32"/>
    <n v="1.0507166145491278"/>
    <n v="857.38475747208827"/>
    <n v="2709.12"/>
    <n v="-1851.7352425279116"/>
    <n v="-62.063576514333434"/>
    <n v="-1913.798819042245"/>
    <n v="0"/>
    <n v="0"/>
    <n v="0"/>
    <n v="-1913.798819042245"/>
  </r>
  <r>
    <x v="7"/>
    <d v="2020-09-03T00:00:00"/>
    <d v="2020-09-24T00:00:00"/>
    <x v="3"/>
    <n v="9"/>
    <n v="889"/>
    <n v="3.32"/>
    <n v="1.0507166145491278"/>
    <n v="934.08707033417465"/>
    <n v="2951.48"/>
    <n v="-2017.3929296658252"/>
    <n v="-67.615832746620612"/>
    <n v="-2085.0087624124458"/>
    <n v="0"/>
    <n v="0"/>
    <n v="0"/>
    <n v="-2085.0087624124458"/>
  </r>
  <r>
    <x v="8"/>
    <d v="2020-10-05T00:00:00"/>
    <d v="2020-10-26T00:00:00"/>
    <x v="3"/>
    <n v="9"/>
    <n v="768"/>
    <n v="3.32"/>
    <n v="1.0507166145491278"/>
    <n v="806.9503599737302"/>
    <n v="2549.7599999999998"/>
    <n v="-1742.8096400262696"/>
    <n v="-58.412777895843227"/>
    <n v="-1801.2224179221128"/>
    <n v="0"/>
    <n v="0"/>
    <n v="0"/>
    <n v="-1801.2224179221128"/>
  </r>
  <r>
    <x v="9"/>
    <d v="2020-11-04T00:00:00"/>
    <d v="2020-11-24T00:00:00"/>
    <x v="3"/>
    <n v="9"/>
    <n v="633"/>
    <n v="3.32"/>
    <n v="1.0507166145491278"/>
    <n v="665.10361700959788"/>
    <n v="2101.56"/>
    <n v="-1436.4563829904021"/>
    <n v="-48.144906781339536"/>
    <n v="-1484.6012897717417"/>
    <n v="0"/>
    <n v="0"/>
    <n v="0"/>
    <n v="-1484.6012897717417"/>
  </r>
  <r>
    <x v="10"/>
    <d v="2020-12-03T00:00:00"/>
    <d v="2020-12-24T00:00:00"/>
    <x v="3"/>
    <n v="9"/>
    <n v="639"/>
    <n v="3.32"/>
    <n v="1.0507166145491278"/>
    <n v="671.4079166968927"/>
    <n v="2121.48"/>
    <n v="-1450.0720833031073"/>
    <n v="-48.601256608650814"/>
    <n v="-1498.6733399117581"/>
    <n v="0"/>
    <n v="0"/>
    <n v="0"/>
    <n v="-1498.6733399117581"/>
  </r>
  <r>
    <x v="11"/>
    <d v="2021-01-06T00:00:00"/>
    <d v="2021-01-25T00:00:00"/>
    <x v="3"/>
    <n v="9"/>
    <n v="734"/>
    <n v="3.32"/>
    <n v="1.0507166145491278"/>
    <n v="771.22599507905977"/>
    <n v="2436.88"/>
    <n v="-1665.6540049209402"/>
    <n v="-55.826795541079335"/>
    <n v="-1721.4808004620195"/>
    <n v="0"/>
    <n v="0"/>
    <n v="0"/>
    <n v="-1721.4808004620195"/>
  </r>
  <r>
    <x v="0"/>
    <d v="2020-02-05T00:00:00"/>
    <d v="2020-02-24T00:00:00"/>
    <x v="4"/>
    <n v="9"/>
    <n v="41"/>
    <n v="3.32"/>
    <n v="1.0507166145491278"/>
    <n v="43.079381196514241"/>
    <n v="136.12"/>
    <n v="-93.040618803485756"/>
    <n v="-3.1183904866270478"/>
    <n v="-96.159009290112806"/>
    <n v="0"/>
    <n v="0"/>
    <n v="0"/>
    <n v="-96.159009290112806"/>
  </r>
  <r>
    <x v="1"/>
    <d v="2020-03-04T00:00:00"/>
    <d v="2020-03-24T00:00:00"/>
    <x v="4"/>
    <n v="9"/>
    <n v="34"/>
    <n v="3.32"/>
    <n v="1.0507166145491278"/>
    <n v="35.724364894670344"/>
    <n v="112.88"/>
    <n v="-77.155635105329651"/>
    <n v="-2.5859823547638929"/>
    <n v="-79.741617460093551"/>
    <n v="0"/>
    <n v="0"/>
    <n v="0"/>
    <n v="-79.741617460093551"/>
  </r>
  <r>
    <x v="2"/>
    <d v="2020-04-03T00:00:00"/>
    <d v="2020-04-24T00:00:00"/>
    <x v="4"/>
    <n v="9"/>
    <n v="25"/>
    <n v="3.32"/>
    <n v="1.0507166145491278"/>
    <n v="26.267915363728196"/>
    <n v="83"/>
    <n v="-56.732084636271807"/>
    <n v="-1.9014576137969801"/>
    <n v="-58.633542250068786"/>
    <n v="0"/>
    <n v="0"/>
    <n v="0"/>
    <n v="-58.633542250068786"/>
  </r>
  <r>
    <x v="3"/>
    <d v="2020-05-05T00:00:00"/>
    <d v="2020-05-25T00:00:00"/>
    <x v="4"/>
    <n v="9"/>
    <n v="31"/>
    <n v="3.32"/>
    <n v="1.0507166145491278"/>
    <n v="32.572215051022958"/>
    <n v="102.92"/>
    <n v="-70.347784948977051"/>
    <n v="-2.357807441108255"/>
    <n v="-72.7055923900853"/>
    <n v="0"/>
    <n v="0"/>
    <n v="0"/>
    <n v="-72.7055923900853"/>
  </r>
  <r>
    <x v="4"/>
    <d v="2020-06-03T00:00:00"/>
    <d v="2020-06-24T00:00:00"/>
    <x v="4"/>
    <n v="9"/>
    <n v="28"/>
    <n v="3.32"/>
    <n v="1.0507166145491278"/>
    <n v="29.420065207375579"/>
    <n v="92.96"/>
    <n v="-63.539934792624415"/>
    <n v="-2.1296325274526176"/>
    <n v="-65.669567320077036"/>
    <n v="0"/>
    <n v="0"/>
    <n v="0"/>
    <n v="-65.669567320077036"/>
  </r>
  <r>
    <x v="5"/>
    <d v="2020-07-03T00:00:00"/>
    <d v="2020-07-24T00:00:00"/>
    <x v="4"/>
    <n v="9"/>
    <n v="46"/>
    <n v="3.32"/>
    <n v="1.0507166145491278"/>
    <n v="48.332964269259875"/>
    <n v="152.72"/>
    <n v="-104.38703573074012"/>
    <n v="-3.4986820093864432"/>
    <n v="-107.88571774012657"/>
    <n v="0"/>
    <n v="0"/>
    <n v="0"/>
    <n v="-107.88571774012657"/>
  </r>
  <r>
    <x v="6"/>
    <d v="2020-08-05T00:00:00"/>
    <d v="2020-08-24T00:00:00"/>
    <x v="4"/>
    <n v="9"/>
    <n v="46"/>
    <n v="3.32"/>
    <n v="1.0507166145491278"/>
    <n v="48.332964269259875"/>
    <n v="152.72"/>
    <n v="-104.38703573074012"/>
    <n v="-3.4986820093864432"/>
    <n v="-107.88571774012657"/>
    <n v="0"/>
    <n v="0"/>
    <n v="0"/>
    <n v="-107.88571774012657"/>
  </r>
  <r>
    <x v="7"/>
    <d v="2020-09-03T00:00:00"/>
    <d v="2020-09-24T00:00:00"/>
    <x v="4"/>
    <n v="9"/>
    <n v="43"/>
    <n v="3.32"/>
    <n v="1.0507166145491278"/>
    <n v="45.180814425612496"/>
    <n v="142.76"/>
    <n v="-97.579185574387495"/>
    <n v="-3.2705070957308058"/>
    <n v="-100.8496926701183"/>
    <n v="0"/>
    <n v="0"/>
    <n v="0"/>
    <n v="-100.8496926701183"/>
  </r>
  <r>
    <x v="8"/>
    <d v="2020-10-05T00:00:00"/>
    <d v="2020-10-26T00:00:00"/>
    <x v="4"/>
    <n v="9"/>
    <n v="41"/>
    <n v="3.32"/>
    <n v="1.0507166145491278"/>
    <n v="43.079381196514241"/>
    <n v="136.12"/>
    <n v="-93.040618803485756"/>
    <n v="-3.1183904866270478"/>
    <n v="-96.159009290112806"/>
    <n v="0"/>
    <n v="0"/>
    <n v="0"/>
    <n v="-96.159009290112806"/>
  </r>
  <r>
    <x v="9"/>
    <d v="2020-11-04T00:00:00"/>
    <d v="2020-11-24T00:00:00"/>
    <x v="4"/>
    <n v="9"/>
    <n v="32"/>
    <n v="3.32"/>
    <n v="1.0507166145491278"/>
    <n v="33.622931665572089"/>
    <n v="106.24"/>
    <n v="-72.617068334427898"/>
    <n v="-2.4338657456601345"/>
    <n v="-75.050934080088027"/>
    <n v="0"/>
    <n v="0"/>
    <n v="0"/>
    <n v="-75.050934080088027"/>
  </r>
  <r>
    <x v="10"/>
    <d v="2020-12-03T00:00:00"/>
    <d v="2020-12-24T00:00:00"/>
    <x v="4"/>
    <n v="9"/>
    <n v="30"/>
    <n v="3.32"/>
    <n v="1.0507166145491278"/>
    <n v="31.521498436473834"/>
    <n v="99.6"/>
    <n v="-68.07850156352616"/>
    <n v="-2.2817491365563765"/>
    <n v="-70.360250700082531"/>
    <n v="0"/>
    <n v="0"/>
    <n v="0"/>
    <n v="-70.360250700082531"/>
  </r>
  <r>
    <x v="11"/>
    <d v="2021-01-06T00:00:00"/>
    <d v="2021-01-25T00:00:00"/>
    <x v="4"/>
    <n v="9"/>
    <n v="39"/>
    <n v="3.32"/>
    <n v="1.0507166145491278"/>
    <n v="40.977947967415986"/>
    <n v="129.47999999999999"/>
    <n v="-88.502052032584004"/>
    <n v="-2.9662738775232889"/>
    <n v="-91.468325910107296"/>
    <n v="0"/>
    <n v="0"/>
    <n v="0"/>
    <n v="-91.468325910107296"/>
  </r>
  <r>
    <x v="0"/>
    <d v="2020-02-05T00:00:00"/>
    <d v="2020-02-24T00:00:00"/>
    <x v="5"/>
    <n v="9"/>
    <n v="40"/>
    <n v="3.32"/>
    <n v="1.0507166145491278"/>
    <n v="42.02866458196511"/>
    <n v="132.79999999999998"/>
    <n v="-90.77133541803488"/>
    <n v="-3.0423321820751683"/>
    <n v="-93.813667600110051"/>
    <n v="0"/>
    <n v="0"/>
    <n v="0"/>
    <n v="-93.813667600110051"/>
  </r>
  <r>
    <x v="1"/>
    <d v="2020-03-04T00:00:00"/>
    <d v="2020-03-24T00:00:00"/>
    <x v="5"/>
    <n v="9"/>
    <n v="42"/>
    <n v="3.32"/>
    <n v="1.0507166145491278"/>
    <n v="44.130097811063365"/>
    <n v="139.44"/>
    <n v="-95.309902188936633"/>
    <n v="-3.1944487911789263"/>
    <n v="-98.504350980115561"/>
    <n v="0"/>
    <n v="0"/>
    <n v="0"/>
    <n v="-98.504350980115561"/>
  </r>
  <r>
    <x v="2"/>
    <d v="2020-04-03T00:00:00"/>
    <d v="2020-04-24T00:00:00"/>
    <x v="5"/>
    <n v="9"/>
    <n v="29"/>
    <n v="3.32"/>
    <n v="1.0507166145491278"/>
    <n v="30.470781821924707"/>
    <n v="96.28"/>
    <n v="-65.809218178075298"/>
    <n v="-2.205690832004497"/>
    <n v="-68.014909010079791"/>
    <n v="0"/>
    <n v="0"/>
    <n v="0"/>
    <n v="-68.014909010079791"/>
  </r>
  <r>
    <x v="3"/>
    <d v="2020-05-05T00:00:00"/>
    <d v="2020-05-25T00:00:00"/>
    <x v="5"/>
    <n v="9"/>
    <n v="32"/>
    <n v="3.32"/>
    <n v="1.0507166145491278"/>
    <n v="33.622931665572089"/>
    <n v="106.24"/>
    <n v="-72.617068334427898"/>
    <n v="-2.4338657456601345"/>
    <n v="-75.050934080088027"/>
    <n v="0"/>
    <n v="0"/>
    <n v="0"/>
    <n v="-75.050934080088027"/>
  </r>
  <r>
    <x v="4"/>
    <d v="2020-06-03T00:00:00"/>
    <d v="2020-06-24T00:00:00"/>
    <x v="5"/>
    <n v="9"/>
    <n v="24"/>
    <n v="3.32"/>
    <n v="1.0507166145491278"/>
    <n v="25.217198749179069"/>
    <n v="79.679999999999993"/>
    <n v="-54.462801250820924"/>
    <n v="-1.8253993092451009"/>
    <n v="-56.288200560066024"/>
    <n v="0"/>
    <n v="0"/>
    <n v="0"/>
    <n v="-56.288200560066024"/>
  </r>
  <r>
    <x v="5"/>
    <d v="2020-07-03T00:00:00"/>
    <d v="2020-07-24T00:00:00"/>
    <x v="5"/>
    <n v="9"/>
    <n v="32"/>
    <n v="3.32"/>
    <n v="1.0507166145491278"/>
    <n v="33.622931665572089"/>
    <n v="106.24"/>
    <n v="-72.617068334427898"/>
    <n v="-2.4338657456601345"/>
    <n v="-75.050934080088027"/>
    <n v="0"/>
    <n v="0"/>
    <n v="0"/>
    <n v="-75.050934080088027"/>
  </r>
  <r>
    <x v="6"/>
    <d v="2020-08-05T00:00:00"/>
    <d v="2020-08-24T00:00:00"/>
    <x v="5"/>
    <n v="9"/>
    <n v="42"/>
    <n v="3.32"/>
    <n v="1.0507166145491278"/>
    <n v="44.130097811063365"/>
    <n v="139.44"/>
    <n v="-95.309902188936633"/>
    <n v="-3.1944487911789263"/>
    <n v="-98.504350980115561"/>
    <n v="0"/>
    <n v="0"/>
    <n v="0"/>
    <n v="-98.504350980115561"/>
  </r>
  <r>
    <x v="7"/>
    <d v="2020-09-03T00:00:00"/>
    <d v="2020-09-24T00:00:00"/>
    <x v="5"/>
    <n v="9"/>
    <n v="39"/>
    <n v="3.32"/>
    <n v="1.0507166145491278"/>
    <n v="40.977947967415986"/>
    <n v="129.47999999999999"/>
    <n v="-88.502052032584004"/>
    <n v="-2.9662738775232889"/>
    <n v="-91.468325910107296"/>
    <n v="0"/>
    <n v="0"/>
    <n v="0"/>
    <n v="-91.468325910107296"/>
  </r>
  <r>
    <x v="8"/>
    <d v="2020-10-05T00:00:00"/>
    <d v="2020-10-26T00:00:00"/>
    <x v="5"/>
    <n v="9"/>
    <n v="36"/>
    <n v="3.32"/>
    <n v="1.0507166145491278"/>
    <n v="37.8257981237686"/>
    <n v="119.52"/>
    <n v="-81.694201876231404"/>
    <n v="-2.7380989638676514"/>
    <n v="-84.43230084009906"/>
    <n v="0"/>
    <n v="0"/>
    <n v="0"/>
    <n v="-84.43230084009906"/>
  </r>
  <r>
    <x v="9"/>
    <d v="2020-11-04T00:00:00"/>
    <d v="2020-11-24T00:00:00"/>
    <x v="5"/>
    <n v="9"/>
    <n v="34"/>
    <n v="3.32"/>
    <n v="1.0507166145491278"/>
    <n v="35.724364894670344"/>
    <n v="112.88"/>
    <n v="-77.155635105329651"/>
    <n v="-2.5859823547638929"/>
    <n v="-79.741617460093551"/>
    <n v="0"/>
    <n v="0"/>
    <n v="0"/>
    <n v="-79.741617460093551"/>
  </r>
  <r>
    <x v="10"/>
    <d v="2020-12-03T00:00:00"/>
    <d v="2020-12-24T00:00:00"/>
    <x v="5"/>
    <n v="9"/>
    <n v="37"/>
    <n v="3.32"/>
    <n v="1.0507166145491278"/>
    <n v="38.876514738317731"/>
    <n v="122.83999999999999"/>
    <n v="-83.963485261682251"/>
    <n v="-2.8141572684195308"/>
    <n v="-86.777642530101787"/>
    <n v="0"/>
    <n v="0"/>
    <n v="0"/>
    <n v="-86.777642530101787"/>
  </r>
  <r>
    <x v="11"/>
    <d v="2021-01-06T00:00:00"/>
    <d v="2021-01-25T00:00:00"/>
    <x v="5"/>
    <n v="9"/>
    <n v="41"/>
    <n v="3.32"/>
    <n v="1.0507166145491278"/>
    <n v="43.079381196514241"/>
    <n v="136.12"/>
    <n v="-93.040618803485756"/>
    <n v="-3.1183904866270478"/>
    <n v="-96.159009290112806"/>
    <n v="0"/>
    <n v="0"/>
    <n v="0"/>
    <n v="-96.159009290112806"/>
  </r>
  <r>
    <x v="0"/>
    <d v="2020-02-05T00:00:00"/>
    <d v="2020-02-24T00:00:00"/>
    <x v="6"/>
    <n v="9"/>
    <n v="76"/>
    <n v="3.32"/>
    <n v="1.0507166145491278"/>
    <n v="79.85446270573371"/>
    <n v="252.32"/>
    <n v="-172.46553729426628"/>
    <n v="-5.7804311459428197"/>
    <n v="-178.24596844020911"/>
    <n v="0"/>
    <n v="0"/>
    <n v="0"/>
    <n v="-178.24596844020911"/>
  </r>
  <r>
    <x v="1"/>
    <d v="2020-03-04T00:00:00"/>
    <d v="2020-03-24T00:00:00"/>
    <x v="6"/>
    <n v="9"/>
    <n v="77"/>
    <n v="3.32"/>
    <n v="1.0507166145491278"/>
    <n v="80.905179320282841"/>
    <n v="255.64"/>
    <n v="-174.73482067971713"/>
    <n v="-5.8564894504946983"/>
    <n v="-180.59131013021184"/>
    <n v="0"/>
    <n v="0"/>
    <n v="0"/>
    <n v="-180.59131013021184"/>
  </r>
  <r>
    <x v="2"/>
    <d v="2020-04-03T00:00:00"/>
    <d v="2020-04-24T00:00:00"/>
    <x v="6"/>
    <n v="9"/>
    <n v="85"/>
    <n v="3.32"/>
    <n v="1.0507166145491278"/>
    <n v="89.310912236675861"/>
    <n v="282.2"/>
    <n v="-192.88908776332414"/>
    <n v="-6.4649558869097321"/>
    <n v="-199.35404365023388"/>
    <n v="0"/>
    <n v="0"/>
    <n v="0"/>
    <n v="-199.35404365023388"/>
  </r>
  <r>
    <x v="3"/>
    <d v="2020-05-05T00:00:00"/>
    <d v="2020-05-25T00:00:00"/>
    <x v="6"/>
    <n v="9"/>
    <n v="82"/>
    <n v="3.32"/>
    <n v="1.0507166145491278"/>
    <n v="86.158762393028482"/>
    <n v="272.24"/>
    <n v="-186.08123760697151"/>
    <n v="-6.2367809732540955"/>
    <n v="-192.31801858022561"/>
    <n v="0"/>
    <n v="0"/>
    <n v="0"/>
    <n v="-192.31801858022561"/>
  </r>
  <r>
    <x v="4"/>
    <d v="2020-06-03T00:00:00"/>
    <d v="2020-06-24T00:00:00"/>
    <x v="6"/>
    <n v="9"/>
    <n v="117"/>
    <n v="3.32"/>
    <n v="1.0507166145491278"/>
    <n v="122.93384390224796"/>
    <n v="388.44"/>
    <n v="-265.50615609775207"/>
    <n v="-8.8988216325698666"/>
    <n v="-274.40497773032195"/>
    <n v="0"/>
    <n v="0"/>
    <n v="0"/>
    <n v="-274.40497773032195"/>
  </r>
  <r>
    <x v="5"/>
    <d v="2020-07-03T00:00:00"/>
    <d v="2020-07-24T00:00:00"/>
    <x v="6"/>
    <n v="9"/>
    <n v="131"/>
    <n v="3.32"/>
    <n v="1.0507166145491278"/>
    <n v="137.64387650593574"/>
    <n v="434.91999999999996"/>
    <n v="-297.27612349406422"/>
    <n v="-9.9636378962961754"/>
    <n v="-307.2397613903604"/>
    <n v="0"/>
    <n v="0"/>
    <n v="0"/>
    <n v="-307.2397613903604"/>
  </r>
  <r>
    <x v="6"/>
    <d v="2020-08-05T00:00:00"/>
    <d v="2020-08-24T00:00:00"/>
    <x v="6"/>
    <n v="9"/>
    <n v="147"/>
    <n v="3.32"/>
    <n v="1.0507166145491278"/>
    <n v="154.45534233872178"/>
    <n v="488.03999999999996"/>
    <n v="-333.58465766127819"/>
    <n v="-11.180570769126243"/>
    <n v="-344.76522843040442"/>
    <n v="0"/>
    <n v="0"/>
    <n v="0"/>
    <n v="-344.76522843040442"/>
  </r>
  <r>
    <x v="7"/>
    <d v="2020-09-03T00:00:00"/>
    <d v="2020-09-24T00:00:00"/>
    <x v="6"/>
    <n v="9"/>
    <n v="141"/>
    <n v="3.32"/>
    <n v="1.0507166145491278"/>
    <n v="148.15104265142702"/>
    <n v="468.12"/>
    <n v="-319.96895734857299"/>
    <n v="-10.724220941814968"/>
    <n v="-330.69317829038795"/>
    <n v="0"/>
    <n v="0"/>
    <n v="0"/>
    <n v="-330.69317829038795"/>
  </r>
  <r>
    <x v="8"/>
    <d v="2020-10-05T00:00:00"/>
    <d v="2020-10-26T00:00:00"/>
    <x v="6"/>
    <n v="9"/>
    <n v="111"/>
    <n v="3.32"/>
    <n v="1.0507166145491278"/>
    <n v="116.62954421495319"/>
    <n v="368.52"/>
    <n v="-251.89045578504681"/>
    <n v="-8.4424718052585916"/>
    <n v="-260.33292759030542"/>
    <n v="0"/>
    <n v="0"/>
    <n v="0"/>
    <n v="-260.33292759030542"/>
  </r>
  <r>
    <x v="9"/>
    <d v="2020-11-04T00:00:00"/>
    <d v="2020-11-24T00:00:00"/>
    <x v="6"/>
    <n v="9"/>
    <n v="98"/>
    <n v="3.32"/>
    <n v="1.0507166145491278"/>
    <n v="102.97022822581452"/>
    <n v="325.35999999999996"/>
    <n v="-222.38977177418542"/>
    <n v="-7.4537138460841614"/>
    <n v="-229.84348562026958"/>
    <n v="0"/>
    <n v="0"/>
    <n v="0"/>
    <n v="-229.84348562026958"/>
  </r>
  <r>
    <x v="10"/>
    <d v="2020-12-03T00:00:00"/>
    <d v="2020-12-24T00:00:00"/>
    <x v="6"/>
    <n v="9"/>
    <n v="74"/>
    <n v="3.32"/>
    <n v="1.0507166145491278"/>
    <n v="77.753029476635461"/>
    <n v="245.67999999999998"/>
    <n v="-167.9269705233645"/>
    <n v="-5.6283145368390617"/>
    <n v="-173.55528506020357"/>
    <n v="0"/>
    <n v="0"/>
    <n v="0"/>
    <n v="-173.55528506020357"/>
  </r>
  <r>
    <x v="11"/>
    <d v="2021-01-06T00:00:00"/>
    <d v="2021-01-25T00:00:00"/>
    <x v="6"/>
    <n v="9"/>
    <n v="78"/>
    <n v="3.32"/>
    <n v="1.0507166145491278"/>
    <n v="81.955895934831972"/>
    <n v="258.95999999999998"/>
    <n v="-177.00410406516801"/>
    <n v="-5.9325477550465777"/>
    <n v="-182.93665182021459"/>
    <n v="0"/>
    <n v="0"/>
    <n v="0"/>
    <n v="-182.93665182021459"/>
  </r>
  <r>
    <x v="0"/>
    <d v="2020-02-05T00:00:00"/>
    <d v="2020-02-24T00:00:00"/>
    <x v="7"/>
    <n v="9"/>
    <n v="39"/>
    <n v="3.32"/>
    <n v="1.0507166145491278"/>
    <n v="40.977947967415986"/>
    <n v="129.47999999999999"/>
    <n v="-88.502052032584004"/>
    <n v="-2.9662738775232889"/>
    <n v="-91.468325910107296"/>
    <n v="0"/>
    <n v="0"/>
    <n v="0"/>
    <n v="-91.468325910107296"/>
  </r>
  <r>
    <x v="1"/>
    <d v="2020-03-04T00:00:00"/>
    <d v="2020-03-24T00:00:00"/>
    <x v="7"/>
    <n v="9"/>
    <n v="41"/>
    <n v="3.32"/>
    <n v="1.0507166145491278"/>
    <n v="43.079381196514241"/>
    <n v="136.12"/>
    <n v="-93.040618803485756"/>
    <n v="-3.1183904866270478"/>
    <n v="-96.159009290112806"/>
    <n v="0"/>
    <n v="0"/>
    <n v="0"/>
    <n v="-96.159009290112806"/>
  </r>
  <r>
    <x v="2"/>
    <d v="2020-04-03T00:00:00"/>
    <d v="2020-04-24T00:00:00"/>
    <x v="7"/>
    <n v="9"/>
    <n v="36"/>
    <n v="3.32"/>
    <n v="1.0507166145491278"/>
    <n v="37.8257981237686"/>
    <n v="119.52"/>
    <n v="-81.694201876231404"/>
    <n v="-2.7380989638676514"/>
    <n v="-84.43230084009906"/>
    <n v="0"/>
    <n v="0"/>
    <n v="0"/>
    <n v="-84.43230084009906"/>
  </r>
  <r>
    <x v="3"/>
    <d v="2020-05-05T00:00:00"/>
    <d v="2020-05-25T00:00:00"/>
    <x v="7"/>
    <n v="9"/>
    <n v="31"/>
    <n v="3.32"/>
    <n v="1.0507166145491278"/>
    <n v="32.572215051022958"/>
    <n v="102.92"/>
    <n v="-70.347784948977051"/>
    <n v="-2.357807441108255"/>
    <n v="-72.7055923900853"/>
    <n v="0"/>
    <n v="0"/>
    <n v="0"/>
    <n v="-72.7055923900853"/>
  </r>
  <r>
    <x v="4"/>
    <d v="2020-06-03T00:00:00"/>
    <d v="2020-06-24T00:00:00"/>
    <x v="7"/>
    <n v="9"/>
    <n v="32"/>
    <n v="3.32"/>
    <n v="1.0507166145491278"/>
    <n v="33.622931665572089"/>
    <n v="106.24"/>
    <n v="-72.617068334427898"/>
    <n v="-2.4338657456601345"/>
    <n v="-75.050934080088027"/>
    <n v="0"/>
    <n v="0"/>
    <n v="0"/>
    <n v="-75.050934080088027"/>
  </r>
  <r>
    <x v="5"/>
    <d v="2020-07-03T00:00:00"/>
    <d v="2020-07-24T00:00:00"/>
    <x v="7"/>
    <n v="9"/>
    <n v="39"/>
    <n v="3.32"/>
    <n v="1.0507166145491278"/>
    <n v="40.977947967415986"/>
    <n v="129.47999999999999"/>
    <n v="-88.502052032584004"/>
    <n v="-2.9662738775232889"/>
    <n v="-91.468325910107296"/>
    <n v="0"/>
    <n v="0"/>
    <n v="0"/>
    <n v="-91.468325910107296"/>
  </r>
  <r>
    <x v="6"/>
    <d v="2020-08-05T00:00:00"/>
    <d v="2020-08-24T00:00:00"/>
    <x v="7"/>
    <n v="9"/>
    <n v="44"/>
    <n v="3.32"/>
    <n v="1.0507166145491278"/>
    <n v="46.23153104016162"/>
    <n v="146.07999999999998"/>
    <n v="-99.848468959838357"/>
    <n v="-3.3465654002826852"/>
    <n v="-103.19503436012104"/>
    <n v="0"/>
    <n v="0"/>
    <n v="0"/>
    <n v="-103.19503436012104"/>
  </r>
  <r>
    <x v="7"/>
    <d v="2020-09-03T00:00:00"/>
    <d v="2020-09-24T00:00:00"/>
    <x v="7"/>
    <n v="9"/>
    <n v="38"/>
    <n v="3.32"/>
    <n v="1.0507166145491278"/>
    <n v="39.927231352866855"/>
    <n v="126.16"/>
    <n v="-86.232768647133142"/>
    <n v="-2.8902155729714099"/>
    <n v="-89.122984220104556"/>
    <n v="0"/>
    <n v="0"/>
    <n v="0"/>
    <n v="-89.122984220104556"/>
  </r>
  <r>
    <x v="8"/>
    <d v="2020-10-05T00:00:00"/>
    <d v="2020-10-26T00:00:00"/>
    <x v="7"/>
    <n v="9"/>
    <n v="41"/>
    <n v="3.32"/>
    <n v="1.0507166145491278"/>
    <n v="43.079381196514241"/>
    <n v="136.12"/>
    <n v="-93.040618803485756"/>
    <n v="-3.1183904866270478"/>
    <n v="-96.159009290112806"/>
    <n v="0"/>
    <n v="0"/>
    <n v="0"/>
    <n v="-96.159009290112806"/>
  </r>
  <r>
    <x v="9"/>
    <d v="2020-11-04T00:00:00"/>
    <d v="2020-11-24T00:00:00"/>
    <x v="7"/>
    <n v="9"/>
    <n v="42"/>
    <n v="3.32"/>
    <n v="1.0507166145491278"/>
    <n v="44.130097811063365"/>
    <n v="139.44"/>
    <n v="-95.309902188936633"/>
    <n v="-3.1944487911789263"/>
    <n v="-98.504350980115561"/>
    <n v="0"/>
    <n v="0"/>
    <n v="0"/>
    <n v="-98.504350980115561"/>
  </r>
  <r>
    <x v="10"/>
    <d v="2020-12-03T00:00:00"/>
    <d v="2020-12-24T00:00:00"/>
    <x v="7"/>
    <n v="9"/>
    <n v="45"/>
    <n v="3.32"/>
    <n v="1.0507166145491278"/>
    <n v="47.282247654710751"/>
    <n v="149.4"/>
    <n v="-102.11775234528926"/>
    <n v="-3.4226237048345642"/>
    <n v="-105.54037605012383"/>
    <n v="0"/>
    <n v="0"/>
    <n v="0"/>
    <n v="-105.54037605012383"/>
  </r>
  <r>
    <x v="11"/>
    <d v="2021-01-06T00:00:00"/>
    <d v="2021-01-25T00:00:00"/>
    <x v="7"/>
    <n v="9"/>
    <n v="43"/>
    <n v="3.32"/>
    <n v="1.0507166145491278"/>
    <n v="45.180814425612496"/>
    <n v="142.76"/>
    <n v="-97.579185574387495"/>
    <n v="-3.2705070957308058"/>
    <n v="-100.8496926701183"/>
    <n v="0"/>
    <n v="0"/>
    <n v="0"/>
    <n v="-100.8496926701183"/>
  </r>
  <r>
    <x v="0"/>
    <d v="2020-02-05T00:00:00"/>
    <d v="2020-02-24T00:00:00"/>
    <x v="8"/>
    <n v="9"/>
    <n v="973"/>
    <n v="3.32"/>
    <n v="1.0507166145491278"/>
    <n v="1022.3472659563014"/>
    <n v="3230.3599999999997"/>
    <n v="-2208.0127340436984"/>
    <n v="-74.004730328978468"/>
    <n v="-2282.0174643726768"/>
    <n v="0"/>
    <n v="0"/>
    <n v="0"/>
    <n v="-2282.0174643726768"/>
  </r>
  <r>
    <x v="1"/>
    <d v="2020-03-04T00:00:00"/>
    <d v="2020-03-24T00:00:00"/>
    <x v="8"/>
    <n v="9"/>
    <n v="991"/>
    <n v="3.32"/>
    <n v="1.0507166145491278"/>
    <n v="1041.2601650181857"/>
    <n v="3290.12"/>
    <n v="-2248.8598349818139"/>
    <n v="-75.373779810912296"/>
    <n v="-2324.2336147927263"/>
    <n v="0"/>
    <n v="0"/>
    <n v="0"/>
    <n v="-2324.2336147927263"/>
  </r>
  <r>
    <x v="2"/>
    <d v="2020-04-03T00:00:00"/>
    <d v="2020-04-24T00:00:00"/>
    <x v="8"/>
    <n v="9"/>
    <n v="585"/>
    <n v="3.32"/>
    <n v="1.0507166145491278"/>
    <n v="614.6692195112397"/>
    <n v="1942.1999999999998"/>
    <n v="-1327.5307804887602"/>
    <n v="-44.494108162849336"/>
    <n v="-1372.0248886516097"/>
    <n v="0"/>
    <n v="0"/>
    <n v="0"/>
    <n v="-1372.0248886516097"/>
  </r>
  <r>
    <x v="3"/>
    <d v="2020-05-05T00:00:00"/>
    <d v="2020-05-25T00:00:00"/>
    <x v="8"/>
    <n v="9"/>
    <n v="650"/>
    <n v="3.32"/>
    <n v="1.0507166145491278"/>
    <n v="682.96579945693304"/>
    <n v="2158"/>
    <n v="-1475.0342005430671"/>
    <n v="-49.437897958721486"/>
    <n v="-1524.4720985017887"/>
    <n v="0"/>
    <n v="0"/>
    <n v="0"/>
    <n v="-1524.4720985017887"/>
  </r>
  <r>
    <x v="4"/>
    <d v="2020-06-03T00:00:00"/>
    <d v="2020-06-24T00:00:00"/>
    <x v="8"/>
    <n v="9"/>
    <n v="688"/>
    <n v="3.32"/>
    <n v="1.0507166145491278"/>
    <n v="722.89303080979994"/>
    <n v="2284.16"/>
    <n v="-1561.2669691901999"/>
    <n v="-52.328113531692892"/>
    <n v="-1613.5950827218928"/>
    <n v="0"/>
    <n v="0"/>
    <n v="0"/>
    <n v="-1613.5950827218928"/>
  </r>
  <r>
    <x v="5"/>
    <d v="2020-07-03T00:00:00"/>
    <d v="2020-07-24T00:00:00"/>
    <x v="8"/>
    <n v="9"/>
    <n v="835"/>
    <n v="3.32"/>
    <n v="1.0507166145491278"/>
    <n v="877.34837314852166"/>
    <n v="2772.2"/>
    <n v="-1894.8516268514782"/>
    <n v="-63.508684300819134"/>
    <n v="-1958.3603111522973"/>
    <n v="0"/>
    <n v="0"/>
    <n v="0"/>
    <n v="-1958.3603111522973"/>
  </r>
  <r>
    <x v="6"/>
    <d v="2020-08-05T00:00:00"/>
    <d v="2020-08-24T00:00:00"/>
    <x v="8"/>
    <n v="9"/>
    <n v="908"/>
    <n v="3.32"/>
    <n v="1.0507166145491278"/>
    <n v="954.05068601060805"/>
    <n v="3014.56"/>
    <n v="-2060.509313989392"/>
    <n v="-69.060940533106319"/>
    <n v="-2129.5702545224985"/>
    <n v="0"/>
    <n v="0"/>
    <n v="0"/>
    <n v="-2129.5702545224985"/>
  </r>
  <r>
    <x v="7"/>
    <d v="2020-09-03T00:00:00"/>
    <d v="2020-09-24T00:00:00"/>
    <x v="8"/>
    <n v="9"/>
    <n v="905"/>
    <n v="3.32"/>
    <n v="1.0507166145491278"/>
    <n v="950.89853616696064"/>
    <n v="3004.6"/>
    <n v="-2053.7014638330393"/>
    <n v="-68.832765619450683"/>
    <n v="-2122.5342294524899"/>
    <n v="0"/>
    <n v="0"/>
    <n v="0"/>
    <n v="-2122.5342294524899"/>
  </r>
  <r>
    <x v="8"/>
    <d v="2020-10-05T00:00:00"/>
    <d v="2020-10-26T00:00:00"/>
    <x v="8"/>
    <n v="9"/>
    <n v="758"/>
    <n v="3.32"/>
    <n v="1.0507166145491278"/>
    <n v="796.44319382823892"/>
    <n v="2516.56"/>
    <n v="-1720.116806171761"/>
    <n v="-57.652194850324435"/>
    <n v="-1777.7690010220854"/>
    <n v="0"/>
    <n v="0"/>
    <n v="0"/>
    <n v="-1777.7690010220854"/>
  </r>
  <r>
    <x v="9"/>
    <d v="2020-11-04T00:00:00"/>
    <d v="2020-11-24T00:00:00"/>
    <x v="8"/>
    <n v="9"/>
    <n v="713"/>
    <n v="3.32"/>
    <n v="1.0507166145491278"/>
    <n v="749.16094617352815"/>
    <n v="2367.16"/>
    <n v="-1617.9990538264717"/>
    <n v="-54.229571145489878"/>
    <n v="-1672.2286249719616"/>
    <n v="0"/>
    <n v="0"/>
    <n v="0"/>
    <n v="-1672.2286249719616"/>
  </r>
  <r>
    <x v="10"/>
    <d v="2020-12-03T00:00:00"/>
    <d v="2020-12-24T00:00:00"/>
    <x v="8"/>
    <n v="9"/>
    <n v="763"/>
    <n v="3.32"/>
    <n v="1.0507166145491278"/>
    <n v="801.69677690098456"/>
    <n v="2533.16"/>
    <n v="-1731.4632230990153"/>
    <n v="-58.032486373083835"/>
    <n v="-1789.4957094720992"/>
    <n v="0"/>
    <n v="0"/>
    <n v="0"/>
    <n v="-1789.4957094720992"/>
  </r>
  <r>
    <x v="11"/>
    <d v="2021-01-06T00:00:00"/>
    <d v="2021-01-25T00:00:00"/>
    <x v="8"/>
    <n v="9"/>
    <n v="988"/>
    <n v="3.32"/>
    <n v="1.0507166145491278"/>
    <n v="1038.1080151745382"/>
    <n v="3280.16"/>
    <n v="-2242.0519848254617"/>
    <n v="-75.145604897256646"/>
    <n v="-2317.1975897227185"/>
    <n v="0"/>
    <n v="0"/>
    <n v="0"/>
    <n v="-2317.1975897227185"/>
  </r>
  <r>
    <x v="0"/>
    <d v="2020-02-05T00:00:00"/>
    <d v="2020-02-24T00:00:00"/>
    <x v="9"/>
    <n v="9"/>
    <n v="6"/>
    <n v="3.32"/>
    <n v="1.0507166145491278"/>
    <n v="6.3042996872947672"/>
    <n v="19.919999999999998"/>
    <n v="-13.615700312705231"/>
    <n v="-0.45634982731127521"/>
    <n v="-14.072050140016506"/>
    <n v="0"/>
    <n v="0"/>
    <n v="0"/>
    <n v="-14.072050140016506"/>
  </r>
  <r>
    <x v="1"/>
    <d v="2020-03-04T00:00:00"/>
    <d v="2020-03-24T00:00:00"/>
    <x v="9"/>
    <n v="9"/>
    <n v="5"/>
    <n v="3.32"/>
    <n v="1.0507166145491278"/>
    <n v="5.2535830727456387"/>
    <n v="16.599999999999998"/>
    <n v="-11.34641692725436"/>
    <n v="-0.38029152275939604"/>
    <n v="-11.726708450013756"/>
    <n v="0"/>
    <n v="0"/>
    <n v="0"/>
    <n v="-11.726708450013756"/>
  </r>
  <r>
    <x v="2"/>
    <d v="2020-04-03T00:00:00"/>
    <d v="2020-04-24T00:00:00"/>
    <x v="9"/>
    <n v="9"/>
    <n v="4"/>
    <n v="3.32"/>
    <n v="1.0507166145491278"/>
    <n v="4.2028664581965112"/>
    <n v="13.28"/>
    <n v="-9.0771335418034873"/>
    <n v="-0.30423321820751681"/>
    <n v="-9.3813667600110033"/>
    <n v="0"/>
    <n v="0"/>
    <n v="0"/>
    <n v="-9.3813667600110033"/>
  </r>
  <r>
    <x v="3"/>
    <d v="2020-05-05T00:00:00"/>
    <d v="2020-05-25T00:00:00"/>
    <x v="9"/>
    <n v="9"/>
    <n v="7"/>
    <n v="3.32"/>
    <n v="1.0507166145491278"/>
    <n v="7.3550163018438948"/>
    <n v="23.24"/>
    <n v="-15.884983698156104"/>
    <n v="-0.53240813186315439"/>
    <n v="-16.417391830019259"/>
    <n v="0"/>
    <n v="0"/>
    <n v="0"/>
    <n v="-16.417391830019259"/>
  </r>
  <r>
    <x v="4"/>
    <d v="2020-06-03T00:00:00"/>
    <d v="2020-06-24T00:00:00"/>
    <x v="9"/>
    <n v="9"/>
    <n v="11"/>
    <n v="3.32"/>
    <n v="1.0507166145491278"/>
    <n v="11.557882760040405"/>
    <n v="36.519999999999996"/>
    <n v="-24.962117239959589"/>
    <n v="-0.83664135007067131"/>
    <n v="-25.798758590030261"/>
    <n v="0"/>
    <n v="0"/>
    <n v="0"/>
    <n v="-25.798758590030261"/>
  </r>
  <r>
    <x v="5"/>
    <d v="2020-07-03T00:00:00"/>
    <d v="2020-07-24T00:00:00"/>
    <x v="9"/>
    <n v="9"/>
    <n v="12"/>
    <n v="3.32"/>
    <n v="1.0507166145491278"/>
    <n v="12.608599374589534"/>
    <n v="39.839999999999996"/>
    <n v="-27.231400625410462"/>
    <n v="-0.91269965462255043"/>
    <n v="-28.144100280033012"/>
    <n v="0"/>
    <n v="0"/>
    <n v="0"/>
    <n v="-28.144100280033012"/>
  </r>
  <r>
    <x v="6"/>
    <d v="2020-08-05T00:00:00"/>
    <d v="2020-08-24T00:00:00"/>
    <x v="9"/>
    <n v="9"/>
    <n v="18"/>
    <n v="3.32"/>
    <n v="1.0507166145491278"/>
    <n v="18.9128990618843"/>
    <n v="59.76"/>
    <n v="-40.847100938115702"/>
    <n v="-1.3690494819338257"/>
    <n v="-42.21615042004953"/>
    <n v="0"/>
    <n v="0"/>
    <n v="0"/>
    <n v="-42.21615042004953"/>
  </r>
  <r>
    <x v="7"/>
    <d v="2020-09-03T00:00:00"/>
    <d v="2020-09-24T00:00:00"/>
    <x v="9"/>
    <n v="9"/>
    <n v="16"/>
    <n v="3.32"/>
    <n v="1.0507166145491278"/>
    <n v="16.811465832786045"/>
    <n v="53.12"/>
    <n v="-36.308534167213949"/>
    <n v="-1.2169328728300672"/>
    <n v="-37.525467040044013"/>
    <n v="0"/>
    <n v="0"/>
    <n v="0"/>
    <n v="-37.525467040044013"/>
  </r>
  <r>
    <x v="8"/>
    <d v="2020-10-05T00:00:00"/>
    <d v="2020-10-26T00:00:00"/>
    <x v="9"/>
    <n v="9"/>
    <n v="6"/>
    <n v="3.32"/>
    <n v="1.0507166145491278"/>
    <n v="6.3042996872947672"/>
    <n v="19.919999999999998"/>
    <n v="-13.615700312705231"/>
    <n v="-0.45634982731127521"/>
    <n v="-14.072050140016506"/>
    <n v="0"/>
    <n v="0"/>
    <n v="0"/>
    <n v="-14.072050140016506"/>
  </r>
  <r>
    <x v="9"/>
    <d v="2020-11-04T00:00:00"/>
    <d v="2020-11-24T00:00:00"/>
    <x v="9"/>
    <n v="9"/>
    <n v="7"/>
    <n v="3.32"/>
    <n v="1.0507166145491278"/>
    <n v="7.3550163018438948"/>
    <n v="23.24"/>
    <n v="-15.884983698156104"/>
    <n v="-0.53240813186315439"/>
    <n v="-16.417391830019259"/>
    <n v="0"/>
    <n v="0"/>
    <n v="0"/>
    <n v="-16.417391830019259"/>
  </r>
  <r>
    <x v="10"/>
    <d v="2020-12-03T00:00:00"/>
    <d v="2020-12-24T00:00:00"/>
    <x v="9"/>
    <n v="9"/>
    <n v="6"/>
    <n v="3.32"/>
    <n v="1.0507166145491278"/>
    <n v="6.3042996872947672"/>
    <n v="19.919999999999998"/>
    <n v="-13.615700312705231"/>
    <n v="-0.45634982731127521"/>
    <n v="-14.072050140016506"/>
    <n v="0"/>
    <n v="0"/>
    <n v="0"/>
    <n v="-14.072050140016506"/>
  </r>
  <r>
    <x v="11"/>
    <d v="2021-01-06T00:00:00"/>
    <d v="2021-01-25T00:00:00"/>
    <x v="9"/>
    <n v="9"/>
    <n v="8"/>
    <n v="3.32"/>
    <n v="1.0507166145491278"/>
    <n v="8.4057329163930223"/>
    <n v="26.56"/>
    <n v="-18.154267083606975"/>
    <n v="-0.60846643641503362"/>
    <n v="-18.762733520022007"/>
    <n v="0"/>
    <n v="0"/>
    <n v="0"/>
    <n v="-18.762733520022007"/>
  </r>
  <r>
    <x v="0"/>
    <d v="2020-02-05T00:00:00"/>
    <d v="2020-02-24T00:00:00"/>
    <x v="10"/>
    <n v="9"/>
    <n v="2"/>
    <n v="3.32"/>
    <n v="1.0507166145491278"/>
    <n v="2.1014332290982556"/>
    <n v="6.64"/>
    <n v="-4.5385667709017437"/>
    <n v="-0.1521166091037584"/>
    <n v="-4.6906833800055017"/>
    <n v="0"/>
    <n v="0"/>
    <n v="0"/>
    <n v="-4.6906833800055017"/>
  </r>
  <r>
    <x v="1"/>
    <d v="2020-03-04T00:00:00"/>
    <d v="2020-03-24T00:00:00"/>
    <x v="10"/>
    <n v="9"/>
    <n v="3"/>
    <n v="3.32"/>
    <n v="1.0507166145491278"/>
    <n v="3.1521498436473836"/>
    <n v="9.9599999999999991"/>
    <n v="-6.8078501563526155"/>
    <n v="-0.22817491365563761"/>
    <n v="-7.0360250700082529"/>
    <n v="0"/>
    <n v="0"/>
    <n v="0"/>
    <n v="-7.0360250700082529"/>
  </r>
  <r>
    <x v="2"/>
    <d v="2020-04-03T00:00:00"/>
    <d v="2020-04-24T00:00:00"/>
    <x v="10"/>
    <n v="9"/>
    <n v="1"/>
    <n v="3.32"/>
    <n v="1.0507166145491278"/>
    <n v="1.0507166145491278"/>
    <n v="3.32"/>
    <n v="-2.2692833854508718"/>
    <n v="-7.6058304551879202E-2"/>
    <n v="-2.3453416900027508"/>
    <n v="0"/>
    <n v="0"/>
    <n v="0"/>
    <n v="-2.3453416900027508"/>
  </r>
  <r>
    <x v="3"/>
    <d v="2020-05-05T00:00:00"/>
    <d v="2020-05-25T00:00:00"/>
    <x v="10"/>
    <n v="9"/>
    <n v="2"/>
    <n v="3.32"/>
    <n v="1.0507166145491278"/>
    <n v="2.1014332290982556"/>
    <n v="6.64"/>
    <n v="-4.5385667709017437"/>
    <n v="-0.1521166091037584"/>
    <n v="-4.6906833800055017"/>
    <n v="0"/>
    <n v="0"/>
    <n v="0"/>
    <n v="-4.6906833800055017"/>
  </r>
  <r>
    <x v="4"/>
    <d v="2020-06-03T00:00:00"/>
    <d v="2020-06-24T00:00:00"/>
    <x v="10"/>
    <n v="9"/>
    <n v="2"/>
    <n v="3.32"/>
    <n v="1.0507166145491278"/>
    <n v="2.1014332290982556"/>
    <n v="6.64"/>
    <n v="-4.5385667709017437"/>
    <n v="-0.1521166091037584"/>
    <n v="-4.6906833800055017"/>
    <n v="0"/>
    <n v="0"/>
    <n v="0"/>
    <n v="-4.6906833800055017"/>
  </r>
  <r>
    <x v="5"/>
    <d v="2020-07-03T00:00:00"/>
    <d v="2020-07-24T00:00:00"/>
    <x v="10"/>
    <n v="9"/>
    <n v="4"/>
    <n v="3.32"/>
    <n v="1.0507166145491278"/>
    <n v="4.2028664581965112"/>
    <n v="13.28"/>
    <n v="-9.0771335418034873"/>
    <n v="-0.30423321820751681"/>
    <n v="-9.3813667600110033"/>
    <n v="0"/>
    <n v="0"/>
    <n v="0"/>
    <n v="-9.3813667600110033"/>
  </r>
  <r>
    <x v="6"/>
    <d v="2020-08-05T00:00:00"/>
    <d v="2020-08-24T00:00:00"/>
    <x v="10"/>
    <n v="9"/>
    <n v="6"/>
    <n v="3.32"/>
    <n v="1.0507166145491278"/>
    <n v="6.3042996872947672"/>
    <n v="19.919999999999998"/>
    <n v="-13.615700312705231"/>
    <n v="-0.45634982731127521"/>
    <n v="-14.072050140016506"/>
    <n v="0"/>
    <n v="0"/>
    <n v="0"/>
    <n v="-14.072050140016506"/>
  </r>
  <r>
    <x v="7"/>
    <d v="2020-09-03T00:00:00"/>
    <d v="2020-09-24T00:00:00"/>
    <x v="10"/>
    <n v="9"/>
    <n v="5"/>
    <n v="3.32"/>
    <n v="1.0507166145491278"/>
    <n v="5.2535830727456387"/>
    <n v="16.599999999999998"/>
    <n v="-11.34641692725436"/>
    <n v="-0.38029152275939604"/>
    <n v="-11.726708450013756"/>
    <n v="0"/>
    <n v="0"/>
    <n v="0"/>
    <n v="-11.726708450013756"/>
  </r>
  <r>
    <x v="8"/>
    <d v="2020-10-05T00:00:00"/>
    <d v="2020-10-26T00:00:00"/>
    <x v="10"/>
    <n v="9"/>
    <n v="2"/>
    <n v="3.32"/>
    <n v="1.0507166145491278"/>
    <n v="2.1014332290982556"/>
    <n v="6.64"/>
    <n v="-4.5385667709017437"/>
    <n v="-0.1521166091037584"/>
    <n v="-4.6906833800055017"/>
    <n v="0"/>
    <n v="0"/>
    <n v="0"/>
    <n v="-4.6906833800055017"/>
  </r>
  <r>
    <x v="9"/>
    <d v="2020-11-04T00:00:00"/>
    <d v="2020-11-24T00:00:00"/>
    <x v="10"/>
    <n v="9"/>
    <n v="1"/>
    <n v="3.32"/>
    <n v="1.0507166145491278"/>
    <n v="1.0507166145491278"/>
    <n v="3.32"/>
    <n v="-2.2692833854508718"/>
    <n v="-7.6058304551879202E-2"/>
    <n v="-2.3453416900027508"/>
    <n v="0"/>
    <n v="0"/>
    <n v="0"/>
    <n v="-2.3453416900027508"/>
  </r>
  <r>
    <x v="10"/>
    <d v="2020-12-03T00:00:00"/>
    <d v="2020-12-24T00:00:00"/>
    <x v="10"/>
    <n v="9"/>
    <n v="3"/>
    <n v="3.32"/>
    <n v="1.0507166145491278"/>
    <n v="3.1521498436473836"/>
    <n v="9.9599999999999991"/>
    <n v="-6.8078501563526155"/>
    <n v="-0.22817491365563761"/>
    <n v="-7.0360250700082529"/>
    <n v="0"/>
    <n v="0"/>
    <n v="0"/>
    <n v="-7.0360250700082529"/>
  </r>
  <r>
    <x v="11"/>
    <d v="2021-01-06T00:00:00"/>
    <d v="2021-01-25T00:00:00"/>
    <x v="10"/>
    <n v="9"/>
    <n v="1"/>
    <n v="3.32"/>
    <n v="1.0507166145491278"/>
    <n v="1.0507166145491278"/>
    <n v="3.32"/>
    <n v="-2.2692833854508718"/>
    <n v="-7.6058304551879202E-2"/>
    <n v="-2.3453416900027508"/>
    <n v="0"/>
    <n v="0"/>
    <n v="0"/>
    <n v="-2.3453416900027508"/>
  </r>
  <r>
    <x v="0"/>
    <d v="2020-02-05T00:00:00"/>
    <d v="2020-02-24T00:00:00"/>
    <x v="11"/>
    <n v="9"/>
    <n v="109"/>
    <n v="3.32"/>
    <n v="1.0507166145491278"/>
    <n v="114.52811098585492"/>
    <n v="361.88"/>
    <n v="-247.35188901414506"/>
    <n v="-8.2903551961548327"/>
    <n v="-255.64224421029988"/>
    <n v="0"/>
    <n v="0"/>
    <n v="0"/>
    <n v="-255.64224421029988"/>
  </r>
  <r>
    <x v="1"/>
    <d v="2020-03-04T00:00:00"/>
    <d v="2020-03-24T00:00:00"/>
    <x v="11"/>
    <n v="9"/>
    <n v="104"/>
    <n v="3.32"/>
    <n v="1.0507166145491278"/>
    <n v="109.2745279131093"/>
    <n v="345.28"/>
    <n v="-236.00547208689068"/>
    <n v="-7.9100636733954373"/>
    <n v="-243.9155357602861"/>
    <n v="0"/>
    <n v="0"/>
    <n v="0"/>
    <n v="-243.9155357602861"/>
  </r>
  <r>
    <x v="2"/>
    <d v="2020-04-03T00:00:00"/>
    <d v="2020-04-24T00:00:00"/>
    <x v="11"/>
    <n v="9"/>
    <n v="87"/>
    <n v="3.32"/>
    <n v="1.0507166145491278"/>
    <n v="91.412345465774123"/>
    <n v="288.83999999999997"/>
    <n v="-197.42765453422584"/>
    <n v="-6.617072496013491"/>
    <n v="-204.04472703023933"/>
    <n v="0"/>
    <n v="0"/>
    <n v="0"/>
    <n v="-204.04472703023933"/>
  </r>
  <r>
    <x v="3"/>
    <d v="2020-05-05T00:00:00"/>
    <d v="2020-05-25T00:00:00"/>
    <x v="11"/>
    <n v="9"/>
    <n v="102"/>
    <n v="3.32"/>
    <n v="1.0507166145491278"/>
    <n v="107.17309468401103"/>
    <n v="338.64"/>
    <n v="-231.46690531598895"/>
    <n v="-7.7579470642916792"/>
    <n v="-239.22485238028062"/>
    <n v="0"/>
    <n v="0"/>
    <n v="0"/>
    <n v="-239.22485238028062"/>
  </r>
  <r>
    <x v="4"/>
    <d v="2020-06-03T00:00:00"/>
    <d v="2020-06-24T00:00:00"/>
    <x v="11"/>
    <n v="9"/>
    <n v="92"/>
    <n v="3.32"/>
    <n v="1.0507166145491278"/>
    <n v="96.665928538519751"/>
    <n v="305.44"/>
    <n v="-208.77407146148025"/>
    <n v="-6.9973640187728865"/>
    <n v="-215.77143548025313"/>
    <n v="0"/>
    <n v="0"/>
    <n v="0"/>
    <n v="-215.77143548025313"/>
  </r>
  <r>
    <x v="5"/>
    <d v="2020-07-03T00:00:00"/>
    <d v="2020-07-24T00:00:00"/>
    <x v="11"/>
    <n v="9"/>
    <n v="143"/>
    <n v="3.32"/>
    <n v="1.0507166145491278"/>
    <n v="150.25247588052528"/>
    <n v="474.76"/>
    <n v="-324.50752411947474"/>
    <n v="-10.876337550918727"/>
    <n v="-335.38386167039346"/>
    <n v="0"/>
    <n v="0"/>
    <n v="0"/>
    <n v="-335.38386167039346"/>
  </r>
  <r>
    <x v="6"/>
    <d v="2020-08-05T00:00:00"/>
    <d v="2020-08-24T00:00:00"/>
    <x v="11"/>
    <n v="9"/>
    <n v="138"/>
    <n v="3.32"/>
    <n v="1.0507166145491278"/>
    <n v="144.99889280777964"/>
    <n v="458.15999999999997"/>
    <n v="-313.16110719222036"/>
    <n v="-10.496046028159329"/>
    <n v="-323.65715322037971"/>
    <n v="0"/>
    <n v="0"/>
    <n v="0"/>
    <n v="-323.65715322037971"/>
  </r>
  <r>
    <x v="7"/>
    <d v="2020-09-03T00:00:00"/>
    <d v="2020-09-24T00:00:00"/>
    <x v="11"/>
    <n v="9"/>
    <n v="152"/>
    <n v="3.32"/>
    <n v="1.0507166145491278"/>
    <n v="159.70892541146742"/>
    <n v="504.64"/>
    <n v="-344.93107458853257"/>
    <n v="-11.560862291885639"/>
    <n v="-356.49193688041822"/>
    <n v="0"/>
    <n v="0"/>
    <n v="0"/>
    <n v="-356.49193688041822"/>
  </r>
  <r>
    <x v="8"/>
    <d v="2020-10-05T00:00:00"/>
    <d v="2020-10-26T00:00:00"/>
    <x v="11"/>
    <n v="9"/>
    <n v="136"/>
    <n v="3.32"/>
    <n v="1.0507166145491278"/>
    <n v="142.89745957868138"/>
    <n v="451.52"/>
    <n v="-308.6225404213186"/>
    <n v="-10.343929419055572"/>
    <n v="-318.9664698403742"/>
    <n v="0"/>
    <n v="0"/>
    <n v="0"/>
    <n v="-318.9664698403742"/>
  </r>
  <r>
    <x v="9"/>
    <d v="2020-11-04T00:00:00"/>
    <d v="2020-11-24T00:00:00"/>
    <x v="11"/>
    <n v="9"/>
    <n v="107"/>
    <n v="3.32"/>
    <n v="1.0507166145491278"/>
    <n v="112.42667775675667"/>
    <n v="355.24"/>
    <n v="-242.81332224324333"/>
    <n v="-8.1382385870510756"/>
    <n v="-250.9515608302944"/>
    <n v="0"/>
    <n v="0"/>
    <n v="0"/>
    <n v="-250.9515608302944"/>
  </r>
  <r>
    <x v="10"/>
    <d v="2020-12-03T00:00:00"/>
    <d v="2020-12-24T00:00:00"/>
    <x v="11"/>
    <n v="9"/>
    <n v="95"/>
    <n v="3.32"/>
    <n v="1.0507166145491278"/>
    <n v="99.818078382167144"/>
    <n v="315.39999999999998"/>
    <n v="-215.58192161783285"/>
    <n v="-7.225538932428524"/>
    <n v="-222.80746055026137"/>
    <n v="0"/>
    <n v="0"/>
    <n v="0"/>
    <n v="-222.80746055026137"/>
  </r>
  <r>
    <x v="11"/>
    <d v="2021-01-06T00:00:00"/>
    <d v="2021-01-25T00:00:00"/>
    <x v="11"/>
    <n v="9"/>
    <n v="99"/>
    <n v="3.32"/>
    <n v="1.0507166145491278"/>
    <n v="104.02094484036365"/>
    <n v="328.68"/>
    <n v="-224.65905515963635"/>
    <n v="-7.5297721506360409"/>
    <n v="-232.18882731027239"/>
    <n v="0"/>
    <n v="0"/>
    <n v="0"/>
    <n v="-232.18882731027239"/>
  </r>
  <r>
    <x v="0"/>
    <d v="2020-02-05T00:00:00"/>
    <d v="2020-02-24T00:00:00"/>
    <x v="12"/>
    <n v="9"/>
    <n v="11"/>
    <n v="3.32"/>
    <n v="1.0507166145491278"/>
    <n v="11.557882760040405"/>
    <n v="36.519999999999996"/>
    <n v="-24.962117239959589"/>
    <n v="-0.83664135007067131"/>
    <n v="-25.798758590030261"/>
    <n v="0"/>
    <n v="0"/>
    <n v="0"/>
    <n v="-25.798758590030261"/>
  </r>
  <r>
    <x v="1"/>
    <d v="2020-03-04T00:00:00"/>
    <d v="2020-03-24T00:00:00"/>
    <x v="12"/>
    <n v="9"/>
    <n v="10"/>
    <n v="3.32"/>
    <n v="1.0507166145491278"/>
    <n v="10.507166145491277"/>
    <n v="33.199999999999996"/>
    <n v="-22.69283385450872"/>
    <n v="-0.76058304551879208"/>
    <n v="-23.453416900027513"/>
    <n v="0"/>
    <n v="0"/>
    <n v="0"/>
    <n v="-23.453416900027513"/>
  </r>
  <r>
    <x v="2"/>
    <d v="2020-04-03T00:00:00"/>
    <d v="2020-04-24T00:00:00"/>
    <x v="12"/>
    <n v="9"/>
    <n v="10"/>
    <n v="3.32"/>
    <n v="1.0507166145491278"/>
    <n v="10.507166145491277"/>
    <n v="33.199999999999996"/>
    <n v="-22.69283385450872"/>
    <n v="-0.76058304551879208"/>
    <n v="-23.453416900027513"/>
    <n v="0"/>
    <n v="0"/>
    <n v="0"/>
    <n v="-23.453416900027513"/>
  </r>
  <r>
    <x v="3"/>
    <d v="2020-05-05T00:00:00"/>
    <d v="2020-05-25T00:00:00"/>
    <x v="12"/>
    <n v="9"/>
    <n v="7"/>
    <n v="3.32"/>
    <n v="1.0507166145491278"/>
    <n v="7.3550163018438948"/>
    <n v="23.24"/>
    <n v="-15.884983698156104"/>
    <n v="-0.53240813186315439"/>
    <n v="-16.417391830019259"/>
    <n v="0"/>
    <n v="0"/>
    <n v="0"/>
    <n v="-16.417391830019259"/>
  </r>
  <r>
    <x v="4"/>
    <d v="2020-06-03T00:00:00"/>
    <d v="2020-06-24T00:00:00"/>
    <x v="12"/>
    <n v="9"/>
    <n v="13"/>
    <n v="3.32"/>
    <n v="1.0507166145491278"/>
    <n v="13.659315989138662"/>
    <n v="43.16"/>
    <n v="-29.500684010861335"/>
    <n v="-0.98875795917442966"/>
    <n v="-30.489441970035763"/>
    <n v="0"/>
    <n v="0"/>
    <n v="0"/>
    <n v="-30.489441970035763"/>
  </r>
  <r>
    <x v="5"/>
    <d v="2020-07-03T00:00:00"/>
    <d v="2020-07-24T00:00:00"/>
    <x v="12"/>
    <n v="9"/>
    <n v="12"/>
    <n v="3.32"/>
    <n v="1.0507166145491278"/>
    <n v="12.608599374589534"/>
    <n v="39.839999999999996"/>
    <n v="-27.231400625410462"/>
    <n v="-0.91269965462255043"/>
    <n v="-28.144100280033012"/>
    <n v="0"/>
    <n v="0"/>
    <n v="0"/>
    <n v="-28.144100280033012"/>
  </r>
  <r>
    <x v="6"/>
    <d v="2020-08-05T00:00:00"/>
    <d v="2020-08-24T00:00:00"/>
    <x v="12"/>
    <n v="9"/>
    <n v="15"/>
    <n v="3.32"/>
    <n v="1.0507166145491278"/>
    <n v="15.760749218236917"/>
    <n v="49.8"/>
    <n v="-34.03925078176308"/>
    <n v="-1.1408745682781882"/>
    <n v="-35.180125350041266"/>
    <n v="0"/>
    <n v="0"/>
    <n v="0"/>
    <n v="-35.180125350041266"/>
  </r>
  <r>
    <x v="7"/>
    <d v="2020-09-03T00:00:00"/>
    <d v="2020-09-24T00:00:00"/>
    <x v="12"/>
    <n v="9"/>
    <n v="12"/>
    <n v="3.32"/>
    <n v="1.0507166145491278"/>
    <n v="12.608599374589534"/>
    <n v="39.839999999999996"/>
    <n v="-27.231400625410462"/>
    <n v="-0.91269965462255043"/>
    <n v="-28.144100280033012"/>
    <n v="0"/>
    <n v="0"/>
    <n v="0"/>
    <n v="-28.144100280033012"/>
  </r>
  <r>
    <x v="8"/>
    <d v="2020-10-05T00:00:00"/>
    <d v="2020-10-26T00:00:00"/>
    <x v="12"/>
    <n v="9"/>
    <n v="14"/>
    <n v="3.32"/>
    <n v="1.0507166145491278"/>
    <n v="14.71003260368779"/>
    <n v="46.48"/>
    <n v="-31.769967396312207"/>
    <n v="-1.0648162637263088"/>
    <n v="-32.834783660038518"/>
    <n v="0"/>
    <n v="0"/>
    <n v="0"/>
    <n v="-32.834783660038518"/>
  </r>
  <r>
    <x v="9"/>
    <d v="2020-11-04T00:00:00"/>
    <d v="2020-11-24T00:00:00"/>
    <x v="12"/>
    <n v="9"/>
    <n v="11"/>
    <n v="3.32"/>
    <n v="1.0507166145491278"/>
    <n v="11.557882760040405"/>
    <n v="36.519999999999996"/>
    <n v="-24.962117239959589"/>
    <n v="-0.83664135007067131"/>
    <n v="-25.798758590030261"/>
    <n v="0"/>
    <n v="0"/>
    <n v="0"/>
    <n v="-25.798758590030261"/>
  </r>
  <r>
    <x v="10"/>
    <d v="2020-12-03T00:00:00"/>
    <d v="2020-12-24T00:00:00"/>
    <x v="12"/>
    <n v="9"/>
    <n v="9"/>
    <n v="3.32"/>
    <n v="1.0507166145491278"/>
    <n v="9.4564495309421499"/>
    <n v="29.88"/>
    <n v="-20.423550469057851"/>
    <n v="-0.68452474096691285"/>
    <n v="-21.108075210024765"/>
    <n v="0"/>
    <n v="0"/>
    <n v="0"/>
    <n v="-21.108075210024765"/>
  </r>
  <r>
    <x v="11"/>
    <d v="2021-01-06T00:00:00"/>
    <d v="2021-01-25T00:00:00"/>
    <x v="12"/>
    <n v="9"/>
    <n v="8"/>
    <n v="3.32"/>
    <n v="1.0507166145491278"/>
    <n v="8.4057329163930223"/>
    <n v="26.56"/>
    <n v="-18.154267083606975"/>
    <n v="-0.60846643641503362"/>
    <n v="-18.762733520022007"/>
    <n v="0"/>
    <n v="0"/>
    <n v="0"/>
    <n v="-18.762733520022007"/>
  </r>
  <r>
    <x v="0"/>
    <d v="2020-02-05T00:00:00"/>
    <d v="2020-02-24T00:00:00"/>
    <x v="13"/>
    <n v="9"/>
    <n v="20"/>
    <n v="3.32"/>
    <n v="1.0507166145491278"/>
    <n v="21.014332290982555"/>
    <n v="66.399999999999991"/>
    <n v="-45.38566770901744"/>
    <n v="-1.5211660910375842"/>
    <n v="-46.906833800055026"/>
    <n v="0"/>
    <n v="0"/>
    <n v="0"/>
    <n v="-46.906833800055026"/>
  </r>
  <r>
    <x v="1"/>
    <d v="2020-03-04T00:00:00"/>
    <d v="2020-03-24T00:00:00"/>
    <x v="13"/>
    <n v="9"/>
    <n v="19"/>
    <n v="3.32"/>
    <n v="1.0507166145491278"/>
    <n v="19.963615676433427"/>
    <n v="63.08"/>
    <n v="-43.116384323566571"/>
    <n v="-1.4451077864857049"/>
    <n v="-44.561492110052278"/>
    <n v="0"/>
    <n v="0"/>
    <n v="0"/>
    <n v="-44.561492110052278"/>
  </r>
  <r>
    <x v="2"/>
    <d v="2020-04-03T00:00:00"/>
    <d v="2020-04-24T00:00:00"/>
    <x v="13"/>
    <n v="9"/>
    <n v="19"/>
    <n v="3.32"/>
    <n v="1.0507166145491278"/>
    <n v="19.963615676433427"/>
    <n v="63.08"/>
    <n v="-43.116384323566571"/>
    <n v="-1.4451077864857049"/>
    <n v="-44.561492110052278"/>
    <n v="0"/>
    <n v="0"/>
    <n v="0"/>
    <n v="-44.561492110052278"/>
  </r>
  <r>
    <x v="3"/>
    <d v="2020-05-05T00:00:00"/>
    <d v="2020-05-25T00:00:00"/>
    <x v="13"/>
    <n v="9"/>
    <n v="21"/>
    <n v="3.32"/>
    <n v="1.0507166145491278"/>
    <n v="22.065048905531683"/>
    <n v="69.72"/>
    <n v="-47.654951094468316"/>
    <n v="-1.5972243955894632"/>
    <n v="-49.25217549005778"/>
    <n v="0"/>
    <n v="0"/>
    <n v="0"/>
    <n v="-49.25217549005778"/>
  </r>
  <r>
    <x v="4"/>
    <d v="2020-06-03T00:00:00"/>
    <d v="2020-06-24T00:00:00"/>
    <x v="13"/>
    <n v="9"/>
    <n v="23"/>
    <n v="3.32"/>
    <n v="1.0507166145491278"/>
    <n v="24.166482134629938"/>
    <n v="76.36"/>
    <n v="-52.193517865370062"/>
    <n v="-1.7493410046932216"/>
    <n v="-53.942858870063283"/>
    <n v="0"/>
    <n v="0"/>
    <n v="0"/>
    <n v="-53.942858870063283"/>
  </r>
  <r>
    <x v="5"/>
    <d v="2020-07-03T00:00:00"/>
    <d v="2020-07-24T00:00:00"/>
    <x v="13"/>
    <n v="9"/>
    <n v="29"/>
    <n v="3.32"/>
    <n v="1.0507166145491278"/>
    <n v="30.470781821924707"/>
    <n v="96.28"/>
    <n v="-65.809218178075298"/>
    <n v="-2.205690832004497"/>
    <n v="-68.014909010079791"/>
    <n v="0"/>
    <n v="0"/>
    <n v="0"/>
    <n v="-68.014909010079791"/>
  </r>
  <r>
    <x v="6"/>
    <d v="2020-08-05T00:00:00"/>
    <d v="2020-08-24T00:00:00"/>
    <x v="13"/>
    <n v="9"/>
    <n v="33"/>
    <n v="3.32"/>
    <n v="1.0507166145491278"/>
    <n v="34.67364828012122"/>
    <n v="109.55999999999999"/>
    <n v="-74.886351719878775"/>
    <n v="-2.5099240502120139"/>
    <n v="-77.396275770090796"/>
    <n v="0"/>
    <n v="0"/>
    <n v="0"/>
    <n v="-77.396275770090796"/>
  </r>
  <r>
    <x v="7"/>
    <d v="2020-09-03T00:00:00"/>
    <d v="2020-09-24T00:00:00"/>
    <x v="13"/>
    <n v="9"/>
    <n v="34"/>
    <n v="3.32"/>
    <n v="1.0507166145491278"/>
    <n v="35.724364894670344"/>
    <n v="112.88"/>
    <n v="-77.155635105329651"/>
    <n v="-2.5859823547638929"/>
    <n v="-79.741617460093551"/>
    <n v="0"/>
    <n v="0"/>
    <n v="0"/>
    <n v="-79.741617460093551"/>
  </r>
  <r>
    <x v="8"/>
    <d v="2020-10-05T00:00:00"/>
    <d v="2020-10-26T00:00:00"/>
    <x v="13"/>
    <n v="9"/>
    <n v="30"/>
    <n v="3.32"/>
    <n v="1.0507166145491278"/>
    <n v="31.521498436473834"/>
    <n v="99.6"/>
    <n v="-68.07850156352616"/>
    <n v="-2.2817491365563765"/>
    <n v="-70.360250700082531"/>
    <n v="0"/>
    <n v="0"/>
    <n v="0"/>
    <n v="-70.360250700082531"/>
  </r>
  <r>
    <x v="9"/>
    <d v="2020-11-04T00:00:00"/>
    <d v="2020-11-24T00:00:00"/>
    <x v="13"/>
    <n v="9"/>
    <n v="21"/>
    <n v="3.32"/>
    <n v="1.0507166145491278"/>
    <n v="22.065048905531683"/>
    <n v="69.72"/>
    <n v="-47.654951094468316"/>
    <n v="-1.5972243955894632"/>
    <n v="-49.25217549005778"/>
    <n v="0"/>
    <n v="0"/>
    <n v="0"/>
    <n v="-49.25217549005778"/>
  </r>
  <r>
    <x v="10"/>
    <d v="2020-12-03T00:00:00"/>
    <d v="2020-12-24T00:00:00"/>
    <x v="13"/>
    <n v="9"/>
    <n v="16"/>
    <n v="3.32"/>
    <n v="1.0507166145491278"/>
    <n v="16.811465832786045"/>
    <n v="53.12"/>
    <n v="-36.308534167213949"/>
    <n v="-1.2169328728300672"/>
    <n v="-37.525467040044013"/>
    <n v="0"/>
    <n v="0"/>
    <n v="0"/>
    <n v="-37.525467040044013"/>
  </r>
  <r>
    <x v="11"/>
    <d v="2021-01-06T00:00:00"/>
    <d v="2021-01-25T00:00:00"/>
    <x v="13"/>
    <n v="9"/>
    <n v="19"/>
    <n v="3.32"/>
    <n v="1.0507166145491278"/>
    <n v="19.963615676433427"/>
    <n v="63.08"/>
    <n v="-43.116384323566571"/>
    <n v="-1.4451077864857049"/>
    <n v="-44.561492110052278"/>
    <n v="0"/>
    <n v="0"/>
    <n v="0"/>
    <n v="-44.561492110052278"/>
  </r>
  <r>
    <x v="0"/>
    <d v="2020-02-05T00:00:00"/>
    <d v="2020-02-24T00:00:00"/>
    <x v="14"/>
    <n v="9"/>
    <n v="35"/>
    <n v="3.32"/>
    <n v="1.0507166145491278"/>
    <n v="36.775081509219476"/>
    <n v="116.19999999999999"/>
    <n v="-79.424918490780513"/>
    <n v="-2.6620406593157719"/>
    <n v="-82.086959150096291"/>
    <n v="0"/>
    <n v="0"/>
    <n v="0"/>
    <n v="-82.086959150096291"/>
  </r>
  <r>
    <x v="1"/>
    <d v="2020-03-04T00:00:00"/>
    <d v="2020-03-24T00:00:00"/>
    <x v="14"/>
    <n v="9"/>
    <n v="34"/>
    <n v="3.32"/>
    <n v="1.0507166145491278"/>
    <n v="35.724364894670344"/>
    <n v="112.88"/>
    <n v="-77.155635105329651"/>
    <n v="-2.5859823547638929"/>
    <n v="-79.741617460093551"/>
    <n v="0"/>
    <n v="0"/>
    <n v="0"/>
    <n v="-79.741617460093551"/>
  </r>
  <r>
    <x v="2"/>
    <d v="2020-04-03T00:00:00"/>
    <d v="2020-04-24T00:00:00"/>
    <x v="14"/>
    <n v="9"/>
    <n v="30"/>
    <n v="3.32"/>
    <n v="1.0507166145491278"/>
    <n v="31.521498436473834"/>
    <n v="99.6"/>
    <n v="-68.07850156352616"/>
    <n v="-2.2817491365563765"/>
    <n v="-70.360250700082531"/>
    <n v="0"/>
    <n v="0"/>
    <n v="0"/>
    <n v="-70.360250700082531"/>
  </r>
  <r>
    <x v="3"/>
    <d v="2020-05-05T00:00:00"/>
    <d v="2020-05-25T00:00:00"/>
    <x v="14"/>
    <n v="9"/>
    <n v="32"/>
    <n v="3.32"/>
    <n v="1.0507166145491278"/>
    <n v="33.622931665572089"/>
    <n v="106.24"/>
    <n v="-72.617068334427898"/>
    <n v="-2.4338657456601345"/>
    <n v="-75.050934080088027"/>
    <n v="0"/>
    <n v="0"/>
    <n v="0"/>
    <n v="-75.050934080088027"/>
  </r>
  <r>
    <x v="4"/>
    <d v="2020-06-03T00:00:00"/>
    <d v="2020-06-24T00:00:00"/>
    <x v="14"/>
    <n v="9"/>
    <n v="36"/>
    <n v="3.32"/>
    <n v="1.0507166145491278"/>
    <n v="37.8257981237686"/>
    <n v="119.52"/>
    <n v="-81.694201876231404"/>
    <n v="-2.7380989638676514"/>
    <n v="-84.43230084009906"/>
    <n v="0"/>
    <n v="0"/>
    <n v="0"/>
    <n v="-84.43230084009906"/>
  </r>
  <r>
    <x v="5"/>
    <d v="2020-07-03T00:00:00"/>
    <d v="2020-07-24T00:00:00"/>
    <x v="14"/>
    <n v="9"/>
    <n v="42"/>
    <n v="3.32"/>
    <n v="1.0507166145491278"/>
    <n v="44.130097811063365"/>
    <n v="139.44"/>
    <n v="-95.309902188936633"/>
    <n v="-3.1944487911789263"/>
    <n v="-98.504350980115561"/>
    <n v="0"/>
    <n v="0"/>
    <n v="0"/>
    <n v="-98.504350980115561"/>
  </r>
  <r>
    <x v="6"/>
    <d v="2020-08-05T00:00:00"/>
    <d v="2020-08-24T00:00:00"/>
    <x v="14"/>
    <n v="9"/>
    <n v="47"/>
    <n v="3.32"/>
    <n v="1.0507166145491278"/>
    <n v="49.383680883809006"/>
    <n v="156.04"/>
    <n v="-106.65631911619099"/>
    <n v="-3.5747403139383231"/>
    <n v="-110.23105943012931"/>
    <n v="0"/>
    <n v="0"/>
    <n v="0"/>
    <n v="-110.23105943012931"/>
  </r>
  <r>
    <x v="7"/>
    <d v="2020-09-03T00:00:00"/>
    <d v="2020-09-24T00:00:00"/>
    <x v="14"/>
    <n v="9"/>
    <n v="48"/>
    <n v="3.32"/>
    <n v="1.0507166145491278"/>
    <n v="50.434397498358138"/>
    <n v="159.35999999999999"/>
    <n v="-108.92560250164185"/>
    <n v="-3.6507986184902017"/>
    <n v="-112.57640112013205"/>
    <n v="0"/>
    <n v="0"/>
    <n v="0"/>
    <n v="-112.57640112013205"/>
  </r>
  <r>
    <x v="8"/>
    <d v="2020-10-05T00:00:00"/>
    <d v="2020-10-26T00:00:00"/>
    <x v="14"/>
    <n v="9"/>
    <n v="44"/>
    <n v="3.32"/>
    <n v="1.0507166145491278"/>
    <n v="46.23153104016162"/>
    <n v="146.07999999999998"/>
    <n v="-99.848468959838357"/>
    <n v="-3.3465654002826852"/>
    <n v="-103.19503436012104"/>
    <n v="0"/>
    <n v="0"/>
    <n v="0"/>
    <n v="-103.19503436012104"/>
  </r>
  <r>
    <x v="9"/>
    <d v="2020-11-04T00:00:00"/>
    <d v="2020-11-24T00:00:00"/>
    <x v="14"/>
    <n v="9"/>
    <n v="30"/>
    <n v="3.32"/>
    <n v="1.0507166145491278"/>
    <n v="31.521498436473834"/>
    <n v="99.6"/>
    <n v="-68.07850156352616"/>
    <n v="-2.2817491365563765"/>
    <n v="-70.360250700082531"/>
    <n v="0"/>
    <n v="0"/>
    <n v="0"/>
    <n v="-70.360250700082531"/>
  </r>
  <r>
    <x v="10"/>
    <d v="2020-12-03T00:00:00"/>
    <d v="2020-12-24T00:00:00"/>
    <x v="14"/>
    <n v="9"/>
    <n v="31"/>
    <n v="3.32"/>
    <n v="1.0507166145491278"/>
    <n v="32.572215051022958"/>
    <n v="102.92"/>
    <n v="-70.347784948977051"/>
    <n v="-2.357807441108255"/>
    <n v="-72.7055923900853"/>
    <n v="0"/>
    <n v="0"/>
    <n v="0"/>
    <n v="-72.7055923900853"/>
  </r>
  <r>
    <x v="11"/>
    <d v="2021-01-06T00:00:00"/>
    <d v="2021-01-25T00:00:00"/>
    <x v="14"/>
    <n v="9"/>
    <n v="34"/>
    <n v="3.32"/>
    <n v="1.0507166145491278"/>
    <n v="35.724364894670344"/>
    <n v="112.88"/>
    <n v="-77.155635105329651"/>
    <n v="-2.5859823547638929"/>
    <n v="-79.741617460093551"/>
    <n v="0"/>
    <n v="0"/>
    <n v="0"/>
    <n v="-79.741617460093551"/>
  </r>
  <r>
    <x v="0"/>
    <d v="2020-02-05T00:00:00"/>
    <d v="2020-02-24T00:00:00"/>
    <x v="15"/>
    <n v="9"/>
    <n v="106"/>
    <n v="3.32"/>
    <n v="1.0507166145491278"/>
    <n v="111.37596114220754"/>
    <n v="351.91999999999996"/>
    <n v="-240.54403885779243"/>
    <n v="-8.062180282499197"/>
    <n v="-248.60621914029161"/>
    <n v="0"/>
    <n v="0"/>
    <n v="0"/>
    <n v="-248.60621914029161"/>
  </r>
  <r>
    <x v="1"/>
    <d v="2020-03-04T00:00:00"/>
    <d v="2020-03-24T00:00:00"/>
    <x v="15"/>
    <n v="9"/>
    <n v="103"/>
    <n v="3.32"/>
    <n v="1.0507166145491278"/>
    <n v="108.22381129856016"/>
    <n v="341.96"/>
    <n v="-233.7361887014398"/>
    <n v="-7.8340053688435587"/>
    <n v="-241.57019407028335"/>
    <n v="0"/>
    <n v="0"/>
    <n v="0"/>
    <n v="-241.57019407028335"/>
  </r>
  <r>
    <x v="2"/>
    <d v="2020-04-03T00:00:00"/>
    <d v="2020-04-24T00:00:00"/>
    <x v="15"/>
    <n v="9"/>
    <n v="26"/>
    <n v="3.32"/>
    <n v="1.0507166145491278"/>
    <n v="27.318631978277324"/>
    <n v="86.32"/>
    <n v="-59.001368021722669"/>
    <n v="-1.9775159183488593"/>
    <n v="-60.978883940071526"/>
    <n v="0"/>
    <n v="0"/>
    <n v="0"/>
    <n v="-60.978883940071526"/>
  </r>
  <r>
    <x v="3"/>
    <d v="2020-05-05T00:00:00"/>
    <d v="2020-05-25T00:00:00"/>
    <x v="15"/>
    <n v="9"/>
    <n v="97"/>
    <n v="3.32"/>
    <n v="1.0507166145491278"/>
    <n v="101.91951161126539"/>
    <n v="322.03999999999996"/>
    <n v="-220.12048838873457"/>
    <n v="-7.3776555415322829"/>
    <n v="-227.49814393026685"/>
    <n v="0"/>
    <n v="0"/>
    <n v="0"/>
    <n v="-227.49814393026685"/>
  </r>
  <r>
    <x v="4"/>
    <d v="2020-06-03T00:00:00"/>
    <d v="2020-06-24T00:00:00"/>
    <x v="15"/>
    <n v="9"/>
    <n v="80"/>
    <n v="3.32"/>
    <n v="1.0507166145491278"/>
    <n v="84.05732916393022"/>
    <n v="265.59999999999997"/>
    <n v="-181.54267083606976"/>
    <n v="-6.0846643641503366"/>
    <n v="-187.6273352002201"/>
    <n v="0"/>
    <n v="0"/>
    <n v="0"/>
    <n v="-187.6273352002201"/>
  </r>
  <r>
    <x v="5"/>
    <d v="2020-07-03T00:00:00"/>
    <d v="2020-07-24T00:00:00"/>
    <x v="15"/>
    <n v="9"/>
    <n v="99"/>
    <n v="3.32"/>
    <n v="1.0507166145491278"/>
    <n v="104.02094484036365"/>
    <n v="328.68"/>
    <n v="-224.65905515963635"/>
    <n v="-7.5297721506360409"/>
    <n v="-232.18882731027239"/>
    <n v="0"/>
    <n v="0"/>
    <n v="0"/>
    <n v="-232.18882731027239"/>
  </r>
  <r>
    <x v="6"/>
    <d v="2020-08-05T00:00:00"/>
    <d v="2020-08-24T00:00:00"/>
    <x v="15"/>
    <n v="9"/>
    <n v="111"/>
    <n v="3.32"/>
    <n v="1.0507166145491278"/>
    <n v="116.62954421495319"/>
    <n v="368.52"/>
    <n v="-251.89045578504681"/>
    <n v="-8.4424718052585916"/>
    <n v="-260.33292759030542"/>
    <n v="0"/>
    <n v="0"/>
    <n v="0"/>
    <n v="-260.33292759030542"/>
  </r>
  <r>
    <x v="7"/>
    <d v="2020-09-03T00:00:00"/>
    <d v="2020-09-24T00:00:00"/>
    <x v="15"/>
    <n v="9"/>
    <n v="112"/>
    <n v="3.32"/>
    <n v="1.0507166145491278"/>
    <n v="117.68026082950232"/>
    <n v="371.84"/>
    <n v="-254.15973917049766"/>
    <n v="-8.5185301098104702"/>
    <n v="-262.67826928030814"/>
    <n v="0"/>
    <n v="0"/>
    <n v="0"/>
    <n v="-262.67826928030814"/>
  </r>
  <r>
    <x v="8"/>
    <d v="2020-10-05T00:00:00"/>
    <d v="2020-10-26T00:00:00"/>
    <x v="15"/>
    <n v="9"/>
    <n v="114"/>
    <n v="3.32"/>
    <n v="1.0507166145491278"/>
    <n v="119.78169405860056"/>
    <n v="378.47999999999996"/>
    <n v="-258.69830594139938"/>
    <n v="-8.6706467189142291"/>
    <n v="-267.3689526603136"/>
    <n v="0"/>
    <n v="0"/>
    <n v="0"/>
    <n v="-267.3689526603136"/>
  </r>
  <r>
    <x v="9"/>
    <d v="2020-11-04T00:00:00"/>
    <d v="2020-11-24T00:00:00"/>
    <x v="15"/>
    <n v="9"/>
    <n v="96"/>
    <n v="3.32"/>
    <n v="1.0507166145491278"/>
    <n v="100.86879499671628"/>
    <n v="318.71999999999997"/>
    <n v="-217.8512050032837"/>
    <n v="-7.3015972369804034"/>
    <n v="-225.15280224026409"/>
    <n v="0"/>
    <n v="0"/>
    <n v="0"/>
    <n v="-225.15280224026409"/>
  </r>
  <r>
    <x v="10"/>
    <d v="2020-12-03T00:00:00"/>
    <d v="2020-12-24T00:00:00"/>
    <x v="15"/>
    <n v="9"/>
    <n v="100"/>
    <n v="3.32"/>
    <n v="1.0507166145491278"/>
    <n v="105.07166145491279"/>
    <n v="332"/>
    <n v="-226.92833854508723"/>
    <n v="-7.6058304551879203"/>
    <n v="-234.53416900027514"/>
    <n v="0"/>
    <n v="0"/>
    <n v="0"/>
    <n v="-234.53416900027514"/>
  </r>
  <r>
    <x v="11"/>
    <d v="2021-01-06T00:00:00"/>
    <d v="2021-01-25T00:00:00"/>
    <x v="15"/>
    <n v="9"/>
    <n v="105"/>
    <n v="3.32"/>
    <n v="1.0507166145491278"/>
    <n v="110.32524452765841"/>
    <n v="348.59999999999997"/>
    <n v="-238.27475547234155"/>
    <n v="-7.9861219779473167"/>
    <n v="-246.26087745028886"/>
    <n v="0"/>
    <n v="0"/>
    <n v="0"/>
    <n v="-246.260877450288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76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33">
        <item m="1" x="49"/>
        <item m="1" x="69"/>
        <item m="1" x="89"/>
        <item m="1" x="109"/>
        <item m="1" x="129"/>
        <item m="1" x="29"/>
        <item m="1" x="59"/>
        <item m="1" x="79"/>
        <item m="1" x="99"/>
        <item m="1" x="119"/>
        <item m="1" x="19"/>
        <item m="1" x="39"/>
        <item m="1" x="50"/>
        <item m="1" x="70"/>
        <item m="1" x="90"/>
        <item m="1" x="110"/>
        <item m="1" x="130"/>
        <item m="1" x="30"/>
        <item m="1" x="60"/>
        <item m="1" x="80"/>
        <item m="1" x="100"/>
        <item m="1" x="120"/>
        <item m="1" x="20"/>
        <item m="1" x="40"/>
        <item m="1" x="51"/>
        <item m="1" x="71"/>
        <item m="1" x="91"/>
        <item m="1" x="111"/>
        <item m="1" x="131"/>
        <item m="1" x="31"/>
        <item m="1" x="61"/>
        <item m="1" x="81"/>
        <item m="1" x="101"/>
        <item m="1" x="121"/>
        <item m="1" x="21"/>
        <item m="1" x="41"/>
        <item m="1" x="52"/>
        <item m="1" x="72"/>
        <item m="1" x="92"/>
        <item m="1" x="112"/>
        <item m="1" x="12"/>
        <item m="1" x="32"/>
        <item m="1" x="62"/>
        <item m="1" x="82"/>
        <item m="1" x="102"/>
        <item m="1" x="122"/>
        <item m="1" x="22"/>
        <item m="1" x="42"/>
        <item m="1" x="53"/>
        <item m="1" x="73"/>
        <item m="1" x="93"/>
        <item m="1" x="113"/>
        <item m="1" x="13"/>
        <item m="1" x="33"/>
        <item m="1" x="63"/>
        <item m="1" x="83"/>
        <item m="1" x="103"/>
        <item m="1" x="123"/>
        <item m="1" x="23"/>
        <item m="1" x="43"/>
        <item m="1" x="54"/>
        <item m="1" x="74"/>
        <item m="1" x="94"/>
        <item m="1" x="114"/>
        <item m="1" x="14"/>
        <item m="1" x="34"/>
        <item m="1" x="64"/>
        <item m="1" x="84"/>
        <item m="1" x="104"/>
        <item m="1" x="124"/>
        <item m="1" x="24"/>
        <item m="1" x="44"/>
        <item m="1" x="55"/>
        <item m="1" x="75"/>
        <item m="1" x="95"/>
        <item m="1" x="115"/>
        <item m="1" x="15"/>
        <item m="1" x="35"/>
        <item m="1" x="65"/>
        <item m="1" x="85"/>
        <item m="1" x="105"/>
        <item m="1" x="125"/>
        <item m="1" x="25"/>
        <item m="1" x="45"/>
        <item m="1" x="56"/>
        <item m="1" x="76"/>
        <item m="1" x="96"/>
        <item m="1" x="116"/>
        <item m="1" x="16"/>
        <item m="1" x="36"/>
        <item m="1" x="66"/>
        <item m="1" x="86"/>
        <item m="1" x="106"/>
        <item m="1" x="126"/>
        <item m="1" x="26"/>
        <item m="1" x="46"/>
        <item m="1" x="57"/>
        <item m="1" x="77"/>
        <item m="1" x="97"/>
        <item m="1" x="117"/>
        <item m="1" x="17"/>
        <item m="1" x="37"/>
        <item m="1" x="67"/>
        <item m="1" x="87"/>
        <item m="1" x="107"/>
        <item m="1" x="127"/>
        <item m="1" x="27"/>
        <item m="1" x="47"/>
        <item m="1" x="58"/>
        <item m="1" x="78"/>
        <item m="1" x="98"/>
        <item m="1" x="118"/>
        <item m="1" x="18"/>
        <item m="1" x="38"/>
        <item m="1" x="68"/>
        <item m="1" x="88"/>
        <item m="1" x="108"/>
        <item m="1" x="128"/>
        <item m="1" x="28"/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IV65536"/>
    </sheetView>
  </sheetViews>
  <sheetFormatPr defaultColWidth="8.7265625" defaultRowHeight="12.5" x14ac:dyDescent="0.25"/>
  <cols>
    <col min="1" max="16384" width="8.7265625" style="1"/>
  </cols>
  <sheetData>
    <row r="1" spans="1:2" x14ac:dyDescent="0.25">
      <c r="A1" s="1" t="s">
        <v>65</v>
      </c>
    </row>
    <row r="3" spans="1:2" x14ac:dyDescent="0.25">
      <c r="A3" s="2">
        <v>1</v>
      </c>
      <c r="B3" s="3" t="s">
        <v>67</v>
      </c>
    </row>
    <row r="4" spans="1:2" ht="13" x14ac:dyDescent="0.3">
      <c r="A4" s="2">
        <v>2</v>
      </c>
      <c r="B4" s="3" t="s">
        <v>66</v>
      </c>
    </row>
    <row r="5" spans="1:2" ht="13" x14ac:dyDescent="0.3">
      <c r="A5" s="2">
        <v>3</v>
      </c>
      <c r="B5" s="3" t="s">
        <v>68</v>
      </c>
    </row>
    <row r="6" spans="1:2" ht="13" x14ac:dyDescent="0.3">
      <c r="A6" s="2">
        <v>4</v>
      </c>
      <c r="B6" s="4" t="s">
        <v>82</v>
      </c>
    </row>
    <row r="7" spans="1:2" x14ac:dyDescent="0.25">
      <c r="A7" s="2">
        <v>5</v>
      </c>
      <c r="B7" s="3" t="s">
        <v>69</v>
      </c>
    </row>
    <row r="8" spans="1:2" x14ac:dyDescent="0.25">
      <c r="A8" s="2">
        <v>6</v>
      </c>
      <c r="B8" s="3" t="s">
        <v>70</v>
      </c>
    </row>
    <row r="9" spans="1:2" x14ac:dyDescent="0.25">
      <c r="A9" s="2">
        <v>7</v>
      </c>
      <c r="B9" s="5" t="s">
        <v>71</v>
      </c>
    </row>
    <row r="10" spans="1:2" ht="13" x14ac:dyDescent="0.3">
      <c r="A10" s="2">
        <v>8</v>
      </c>
      <c r="B10" s="3" t="s">
        <v>74</v>
      </c>
    </row>
    <row r="11" spans="1:2" x14ac:dyDescent="0.25">
      <c r="A11" s="2"/>
      <c r="B11" s="3" t="s">
        <v>75</v>
      </c>
    </row>
    <row r="12" spans="1:2" x14ac:dyDescent="0.25">
      <c r="A12" s="2"/>
      <c r="B12" s="5" t="s">
        <v>76</v>
      </c>
    </row>
    <row r="13" spans="1:2" x14ac:dyDescent="0.25">
      <c r="A13" s="2"/>
      <c r="B13" s="5" t="s">
        <v>77</v>
      </c>
    </row>
    <row r="14" spans="1:2" x14ac:dyDescent="0.25">
      <c r="A14" s="2">
        <v>9</v>
      </c>
      <c r="B14" s="3" t="s">
        <v>78</v>
      </c>
    </row>
    <row r="15" spans="1:2" x14ac:dyDescent="0.25">
      <c r="A15" s="2">
        <v>10</v>
      </c>
      <c r="B15" s="3" t="s">
        <v>80</v>
      </c>
    </row>
    <row r="16" spans="1:2" x14ac:dyDescent="0.25">
      <c r="A16" s="2">
        <v>11</v>
      </c>
      <c r="B16" s="3" t="s">
        <v>81</v>
      </c>
    </row>
    <row r="17" spans="1:1" x14ac:dyDescent="0.25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0"/>
  <sheetViews>
    <sheetView tabSelected="1" zoomScale="85" zoomScaleNormal="85" zoomScaleSheetLayoutView="100" workbookViewId="0">
      <selection activeCell="C6" sqref="C6"/>
    </sheetView>
  </sheetViews>
  <sheetFormatPr defaultColWidth="33.26953125" defaultRowHeight="12.5" x14ac:dyDescent="0.25"/>
  <cols>
    <col min="1" max="1" width="9.1796875" style="1" customWidth="1"/>
    <col min="2" max="2" width="14" style="1" customWidth="1"/>
    <col min="3" max="3" width="21.81640625" style="1" customWidth="1"/>
    <col min="4" max="4" width="15.54296875" style="1" customWidth="1"/>
    <col min="5" max="16" width="14" style="1" customWidth="1"/>
    <col min="17" max="17" width="15" style="1" customWidth="1"/>
    <col min="18" max="110" width="31.7265625" style="1" customWidth="1"/>
    <col min="111" max="111" width="11.453125" style="1" customWidth="1"/>
    <col min="112" max="16384" width="33.26953125" style="1"/>
  </cols>
  <sheetData>
    <row r="1" spans="2:19" ht="13" x14ac:dyDescent="0.3">
      <c r="C1" s="249" t="str">
        <f>+Transactions!B1</f>
        <v>AEPTCo Formula Rate -- FERC Docket ER18-194</v>
      </c>
      <c r="D1" s="249"/>
      <c r="E1" s="249"/>
      <c r="F1" s="249"/>
      <c r="G1" s="249"/>
      <c r="H1" s="249"/>
      <c r="I1" s="249"/>
      <c r="L1" s="6">
        <v>2021</v>
      </c>
    </row>
    <row r="2" spans="2:19" ht="13" x14ac:dyDescent="0.3">
      <c r="C2" s="249" t="s">
        <v>36</v>
      </c>
      <c r="D2" s="249"/>
      <c r="E2" s="249"/>
      <c r="F2" s="249"/>
      <c r="G2" s="249"/>
      <c r="H2" s="249"/>
      <c r="I2" s="249"/>
    </row>
    <row r="3" spans="2:19" ht="13" x14ac:dyDescent="0.3">
      <c r="C3" s="249" t="str">
        <f>"for period 01/01/"&amp;F8&amp;" - 12/31/"&amp;F8</f>
        <v>for period 01/01/2020 - 12/31/2020</v>
      </c>
      <c r="D3" s="249"/>
      <c r="E3" s="249"/>
      <c r="F3" s="249"/>
      <c r="G3" s="249"/>
      <c r="H3" s="249"/>
      <c r="I3" s="249"/>
    </row>
    <row r="4" spans="2:19" ht="13" x14ac:dyDescent="0.3">
      <c r="C4" s="249" t="s">
        <v>96</v>
      </c>
      <c r="D4" s="249"/>
      <c r="E4" s="249"/>
      <c r="F4" s="249"/>
      <c r="G4" s="249"/>
      <c r="H4" s="249"/>
      <c r="I4" s="249"/>
    </row>
    <row r="5" spans="2:19" x14ac:dyDescent="0.25">
      <c r="C5" s="7" t="str">
        <f>"Prepared:  May 24_, "&amp;L1&amp;""</f>
        <v>Prepared:  May 24_, 2021</v>
      </c>
      <c r="D5" s="8"/>
    </row>
    <row r="6" spans="2:19" x14ac:dyDescent="0.25">
      <c r="C6" s="9"/>
    </row>
    <row r="7" spans="2:19" ht="13" x14ac:dyDescent="0.3">
      <c r="C7" s="10"/>
    </row>
    <row r="8" spans="2:19" ht="27.75" customHeight="1" thickBot="1" x14ac:dyDescent="0.3">
      <c r="F8" s="11">
        <f>Transactions!R1</f>
        <v>2020</v>
      </c>
    </row>
    <row r="9" spans="2:19" ht="20.25" customHeight="1" x14ac:dyDescent="0.3">
      <c r="E9" s="12" t="s">
        <v>95</v>
      </c>
      <c r="F9" s="13"/>
      <c r="G9" s="14"/>
      <c r="H9" s="15"/>
      <c r="L9" s="2"/>
    </row>
    <row r="10" spans="2:19" ht="42" customHeight="1" thickBot="1" x14ac:dyDescent="0.3">
      <c r="B10" s="16"/>
      <c r="E10" s="17" t="str">
        <f>"(per "&amp;$F8&amp;" Projections "&amp;$F8&amp;")"</f>
        <v>(per 2020 Projections 2020)</v>
      </c>
      <c r="F10" s="18" t="str">
        <f>"(per "&amp;F8+1&amp;" Update of May "&amp;F8+1&amp;")"</f>
        <v>(per 2021 Update of May 2021)</v>
      </c>
      <c r="G10" s="19"/>
      <c r="H10" s="20"/>
    </row>
    <row r="11" spans="2:19" ht="21.75" customHeight="1" x14ac:dyDescent="0.25">
      <c r="B11" s="21"/>
      <c r="C11" s="22" t="s">
        <v>39</v>
      </c>
      <c r="D11" s="23" t="s">
        <v>37</v>
      </c>
      <c r="E11" s="24">
        <f>Transactions!K2</f>
        <v>332187.17823726643</v>
      </c>
      <c r="F11" s="25"/>
      <c r="G11" s="26"/>
      <c r="H11" s="27"/>
    </row>
    <row r="12" spans="2:19" ht="21.75" customHeight="1" x14ac:dyDescent="0.25">
      <c r="B12" s="21"/>
      <c r="C12" s="28"/>
      <c r="D12" s="29" t="s">
        <v>43</v>
      </c>
      <c r="E12" s="30"/>
      <c r="F12" s="31">
        <f>+Transactions!J2</f>
        <v>99699.347404723085</v>
      </c>
      <c r="G12" s="32"/>
      <c r="H12" s="33"/>
      <c r="K12" s="34"/>
    </row>
    <row r="13" spans="2:19" ht="21.75" customHeight="1" x14ac:dyDescent="0.25">
      <c r="B13" s="35"/>
      <c r="C13" s="36" t="s">
        <v>40</v>
      </c>
      <c r="D13" s="37" t="s">
        <v>38</v>
      </c>
      <c r="E13" s="38">
        <f>Transactions!K3</f>
        <v>3.32</v>
      </c>
      <c r="F13" s="33"/>
      <c r="G13" s="39"/>
      <c r="H13" s="40"/>
      <c r="K13" s="41"/>
    </row>
    <row r="14" spans="2:19" ht="21.75" customHeight="1" thickBot="1" x14ac:dyDescent="0.3">
      <c r="B14" s="16"/>
      <c r="C14" s="42"/>
      <c r="D14" s="43" t="s">
        <v>42</v>
      </c>
      <c r="E14" s="44"/>
      <c r="F14" s="45">
        <f>+Transactions!J3</f>
        <v>1.0507166145491278</v>
      </c>
      <c r="G14" s="46"/>
      <c r="H14" s="33"/>
      <c r="K14" s="34"/>
    </row>
    <row r="15" spans="2:19" x14ac:dyDescent="0.25">
      <c r="B15" s="21"/>
      <c r="E15" s="47"/>
      <c r="K15" s="41"/>
    </row>
    <row r="16" spans="2:19" ht="13" x14ac:dyDescent="0.3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ht="13" x14ac:dyDescent="0.3">
      <c r="C17" s="10"/>
      <c r="K17" s="41"/>
      <c r="N17" s="54"/>
      <c r="O17" s="53"/>
      <c r="P17" s="53"/>
      <c r="Q17" s="53"/>
      <c r="R17" s="53"/>
      <c r="S17" s="53"/>
    </row>
    <row r="18" spans="2:19" x14ac:dyDescent="0.25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3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94</v>
      </c>
      <c r="I19" s="56" t="s">
        <v>93</v>
      </c>
      <c r="J19" s="237" t="s">
        <v>100</v>
      </c>
      <c r="K19" s="238" t="s">
        <v>101</v>
      </c>
      <c r="N19" s="52"/>
      <c r="O19" s="53"/>
      <c r="P19" s="53"/>
      <c r="Q19" s="53"/>
      <c r="R19" s="53"/>
      <c r="S19" s="53"/>
    </row>
    <row r="20" spans="2:19" ht="53.25" customHeight="1" x14ac:dyDescent="0.25">
      <c r="C20" s="57" t="s">
        <v>52</v>
      </c>
      <c r="D20" s="58" t="str">
        <f>"Actual Charge
("&amp;F8&amp;" True-Up)"</f>
        <v>Actual Charge
(2020 True-Up)</v>
      </c>
      <c r="E20" s="59" t="str">
        <f>"Invoiced for
CY"&amp;F8&amp;" Transmission Service"</f>
        <v>Invoiced for
CY2020 Transmission Service</v>
      </c>
      <c r="F20" s="58" t="s">
        <v>41</v>
      </c>
      <c r="G20" s="60" t="s">
        <v>7</v>
      </c>
      <c r="H20" s="60" t="s">
        <v>88</v>
      </c>
      <c r="I20" s="61" t="s">
        <v>46</v>
      </c>
      <c r="J20" s="239" t="s">
        <v>102</v>
      </c>
      <c r="K20" s="240" t="s">
        <v>103</v>
      </c>
      <c r="N20" s="52"/>
      <c r="O20" s="53"/>
      <c r="P20" s="53"/>
      <c r="Q20" s="53"/>
      <c r="R20" s="53"/>
      <c r="S20" s="53"/>
    </row>
    <row r="21" spans="2:19" x14ac:dyDescent="0.25">
      <c r="B21" s="62"/>
      <c r="C21" s="63" t="s">
        <v>14</v>
      </c>
      <c r="D21" s="64">
        <f>GETPIVOTDATA("Sum of "&amp;T(Transactions!$J$19),Pivot!$A$3,"Customer",C21)</f>
        <v>8865.9467935655393</v>
      </c>
      <c r="E21" s="64">
        <f>GETPIVOTDATA("Sum of "&amp;T(Transactions!$K$19),Pivot!$A$3,"Customer",C21)</f>
        <v>28014.16</v>
      </c>
      <c r="F21" s="64">
        <f>D21-E21</f>
        <v>-19148.213206434462</v>
      </c>
      <c r="G21" s="53">
        <f>+GETPIVOTDATA("Sum of "&amp;T(Transactions!$M$19),Pivot!$A$3,"Customer","AECC")</f>
        <v>-641.77997380875684</v>
      </c>
      <c r="H21" s="53">
        <f>GETPIVOTDATA("Sum of "&amp;T(Transactions!$Q$19),Pivot!$A$3,"Customer","AECC")</f>
        <v>0</v>
      </c>
      <c r="I21" s="65">
        <f>F21+G21-H21</f>
        <v>-19789.993180243218</v>
      </c>
      <c r="J21" s="241"/>
      <c r="K21" s="242">
        <f>I21+J21</f>
        <v>-19789.993180243218</v>
      </c>
      <c r="L21" s="62"/>
      <c r="N21" s="52"/>
      <c r="O21" s="53"/>
      <c r="P21" s="53"/>
      <c r="Q21" s="53"/>
      <c r="R21" s="53"/>
      <c r="S21" s="53"/>
    </row>
    <row r="22" spans="2:19" x14ac:dyDescent="0.25">
      <c r="B22" s="62"/>
      <c r="C22" s="66" t="s">
        <v>85</v>
      </c>
      <c r="D22" s="64">
        <f>GETPIVOTDATA("Sum of "&amp;T(Transactions!$J$19),Pivot!$A$3,"Customer",C22)</f>
        <v>458.11244394341975</v>
      </c>
      <c r="E22" s="64">
        <f>GETPIVOTDATA("Sum of "&amp;T(Transactions!$K$19),Pivot!$A$3,"Customer",C22)</f>
        <v>1447.52</v>
      </c>
      <c r="F22" s="64">
        <f>D22-E22</f>
        <v>-989.40755605658023</v>
      </c>
      <c r="G22" s="53">
        <f>+GETPIVOTDATA("Sum of "&amp;T(Transactions!$M$19),Pivot!$A$3,"Customer","AECI")</f>
        <v>-33.161420784619338</v>
      </c>
      <c r="H22" s="53">
        <f>GETPIVOTDATA("Sum of "&amp;T(Transactions!$Q$19),Pivot!$A$3,"Customer",C22)</f>
        <v>0</v>
      </c>
      <c r="I22" s="65">
        <f t="shared" ref="I22:I33" si="0">F22+G22-H22</f>
        <v>-1022.5689768411996</v>
      </c>
      <c r="J22" s="241"/>
      <c r="K22" s="242">
        <f t="shared" ref="K22:K39" si="1">I22+J22</f>
        <v>-1022.5689768411996</v>
      </c>
      <c r="L22" s="62"/>
      <c r="N22" s="52"/>
      <c r="O22" s="53"/>
      <c r="P22" s="53"/>
      <c r="Q22" s="53"/>
      <c r="R22" s="53"/>
      <c r="S22" s="53"/>
    </row>
    <row r="23" spans="2:19" x14ac:dyDescent="0.25">
      <c r="B23" s="62"/>
      <c r="C23" s="66" t="s">
        <v>56</v>
      </c>
      <c r="D23" s="64">
        <f>GETPIVOTDATA("Sum of "&amp;T(Transactions!$J$19),Pivot!$A$3,"Customer",C23)</f>
        <v>1433.1774622450102</v>
      </c>
      <c r="E23" s="64">
        <f>GETPIVOTDATA("Sum of "&amp;T(Transactions!$K$19),Pivot!$A$3,"Customer",C23)</f>
        <v>4528.4799999999996</v>
      </c>
      <c r="F23" s="64">
        <f t="shared" ref="F23:F35" si="2">D23-E23</f>
        <v>-3095.3025377549893</v>
      </c>
      <c r="G23" s="53">
        <f>+GETPIVOTDATA("Sum of "&amp;T(Transactions!$M$19),Pivot!$A$3,"Customer","Bentonville, AR")</f>
        <v>-103.74352740876321</v>
      </c>
      <c r="H23" s="53">
        <f>GETPIVOTDATA("Sum of "&amp;T(Transactions!$Q$19),Pivot!$A$3,"Customer",C23)</f>
        <v>0</v>
      </c>
      <c r="I23" s="65">
        <f t="shared" si="0"/>
        <v>-3199.0460651637527</v>
      </c>
      <c r="J23" s="241"/>
      <c r="K23" s="242">
        <f t="shared" si="1"/>
        <v>-3199.0460651637527</v>
      </c>
      <c r="L23" s="62"/>
      <c r="N23" s="52"/>
      <c r="O23" s="53"/>
      <c r="P23" s="53"/>
      <c r="Q23" s="53"/>
      <c r="R23" s="53"/>
      <c r="S23" s="53"/>
    </row>
    <row r="24" spans="2:19" x14ac:dyDescent="0.25">
      <c r="B24" s="62"/>
      <c r="C24" s="63" t="s">
        <v>17</v>
      </c>
      <c r="D24" s="64">
        <f>GETPIVOTDATA("Sum of "&amp;T(Transactions!$J$19),Pivot!$A$3,"Customer",C24)</f>
        <v>1207.2733901169479</v>
      </c>
      <c r="E24" s="64">
        <f>GETPIVOTDATA("Sum of "&amp;T(Transactions!$K$19),Pivot!$A$3,"Customer",C24)</f>
        <v>3814.68</v>
      </c>
      <c r="F24" s="64">
        <f t="shared" si="2"/>
        <v>-2607.4066098830517</v>
      </c>
      <c r="G24" s="53">
        <f>+GETPIVOTDATA("Sum of "&amp;T(Transactions!$M$19),Pivot!$A$3,"Customer","Coffeyville, KS")</f>
        <v>-87.390991930109195</v>
      </c>
      <c r="H24" s="53">
        <f>GETPIVOTDATA("Sum of "&amp;T(Transactions!$Q$19),Pivot!$A$3,"Customer",C24)</f>
        <v>0</v>
      </c>
      <c r="I24" s="65">
        <f t="shared" si="0"/>
        <v>-2694.7976018131608</v>
      </c>
      <c r="J24" s="241"/>
      <c r="K24" s="242">
        <f t="shared" si="1"/>
        <v>-2694.7976018131608</v>
      </c>
      <c r="L24" s="62"/>
      <c r="N24" s="52"/>
      <c r="O24" s="53"/>
      <c r="P24" s="53"/>
      <c r="Q24" s="53"/>
      <c r="R24" s="53"/>
      <c r="S24" s="53"/>
    </row>
    <row r="25" spans="2:19" x14ac:dyDescent="0.25">
      <c r="B25" s="62"/>
      <c r="C25" s="66" t="s">
        <v>13</v>
      </c>
      <c r="D25" s="64">
        <f>GETPIVOTDATA("Sum of "&amp;T(Transactions!$J$19),Pivot!$A$3,"Customer",C25)</f>
        <v>10251.84200815584</v>
      </c>
      <c r="E25" s="64">
        <f>GETPIVOTDATA("Sum of "&amp;T(Transactions!$K$19),Pivot!$A$3,"Customer",C25)</f>
        <v>32393.24</v>
      </c>
      <c r="F25" s="64">
        <f t="shared" si="2"/>
        <v>-22141.397991844162</v>
      </c>
      <c r="G25" s="53">
        <f>+GETPIVOTDATA("Sum of "&amp;T(Transactions!$M$19),Pivot!$A$3,"Customer","ETEC")</f>
        <v>-742.10087751268543</v>
      </c>
      <c r="H25" s="53">
        <f>GETPIVOTDATA("Sum of "&amp;T(Transactions!$Q$19),Pivot!$A$3,"Customer",C25)</f>
        <v>0</v>
      </c>
      <c r="I25" s="65">
        <f t="shared" si="0"/>
        <v>-22883.498869356848</v>
      </c>
      <c r="J25" s="241"/>
      <c r="K25" s="242">
        <f t="shared" si="1"/>
        <v>-22883.498869356848</v>
      </c>
      <c r="L25" s="62"/>
      <c r="N25" s="54"/>
      <c r="O25" s="53"/>
      <c r="P25" s="53"/>
      <c r="Q25" s="53"/>
      <c r="R25" s="53"/>
      <c r="S25" s="53"/>
    </row>
    <row r="26" spans="2:19" x14ac:dyDescent="0.25">
      <c r="B26" s="62"/>
      <c r="C26" s="63" t="s">
        <v>15</v>
      </c>
      <c r="D26" s="64">
        <f>GETPIVOTDATA("Sum of "&amp;T(Transactions!$J$19),Pivot!$A$3,"Customer",C26)</f>
        <v>111.37596114220756</v>
      </c>
      <c r="E26" s="64">
        <f>GETPIVOTDATA("Sum of "&amp;T(Transactions!$K$19),Pivot!$A$3,"Customer",C26)</f>
        <v>351.92</v>
      </c>
      <c r="F26" s="64">
        <f t="shared" si="2"/>
        <v>-240.54403885779246</v>
      </c>
      <c r="G26" s="53">
        <f>+GETPIVOTDATA("Sum of "&amp;T(Transactions!$M$19),Pivot!$A$3,"Customer","Greenbelt")</f>
        <v>-8.0621802824991953</v>
      </c>
      <c r="H26" s="53">
        <f>GETPIVOTDATA("Sum of "&amp;T(Transactions!$Q$19),Pivot!$A$3,"Customer",C26)</f>
        <v>0</v>
      </c>
      <c r="I26" s="65">
        <f t="shared" si="0"/>
        <v>-248.60621914029164</v>
      </c>
      <c r="J26" s="241"/>
      <c r="K26" s="242">
        <f t="shared" si="1"/>
        <v>-248.60621914029164</v>
      </c>
      <c r="L26" s="62"/>
      <c r="M26" s="67"/>
      <c r="N26" s="67"/>
      <c r="O26" s="67"/>
      <c r="P26" s="67"/>
      <c r="Q26" s="53"/>
      <c r="R26" s="53"/>
      <c r="S26" s="53"/>
    </row>
    <row r="27" spans="2:19" x14ac:dyDescent="0.25">
      <c r="B27" s="62"/>
      <c r="C27" s="63" t="s">
        <v>59</v>
      </c>
      <c r="D27" s="64">
        <f>GETPIVOTDATA("Sum of "&amp;T(Transactions!$J$19),Pivot!$A$3,"Customer",C27)</f>
        <v>465.46746024526362</v>
      </c>
      <c r="E27" s="64">
        <f>GETPIVOTDATA("Sum of "&amp;T(Transactions!$K$19),Pivot!$A$3,"Customer",C27)</f>
        <v>1470.7599999999998</v>
      </c>
      <c r="F27" s="64">
        <f t="shared" si="2"/>
        <v>-1005.2925397547361</v>
      </c>
      <c r="G27" s="53">
        <f>+GETPIVOTDATA("Sum of "&amp;T(Transactions!$M$19),Pivot!$A$3,"Customer","Hope, AR")</f>
        <v>-33.693828916482495</v>
      </c>
      <c r="H27" s="53">
        <f>GETPIVOTDATA("Sum of "&amp;T(Transactions!$Q$19),Pivot!$A$3,"Customer",C27)</f>
        <v>0</v>
      </c>
      <c r="I27" s="65">
        <f t="shared" si="0"/>
        <v>-1038.9863686712185</v>
      </c>
      <c r="J27" s="241"/>
      <c r="K27" s="242">
        <f t="shared" si="1"/>
        <v>-1038.9863686712185</v>
      </c>
      <c r="L27" s="62"/>
      <c r="M27" s="67"/>
      <c r="N27" s="67"/>
      <c r="O27" s="67"/>
      <c r="P27" s="67"/>
      <c r="Q27" s="53"/>
      <c r="R27" s="53"/>
      <c r="S27" s="53"/>
    </row>
    <row r="28" spans="2:19" x14ac:dyDescent="0.25">
      <c r="B28" s="62"/>
      <c r="C28" s="63" t="s">
        <v>16</v>
      </c>
      <c r="D28" s="64">
        <f>GETPIVOTDATA("Sum of "&amp;T(Transactions!$J$19),Pivot!$A$3,"Customer",C28)</f>
        <v>33.622931665572096</v>
      </c>
      <c r="E28" s="64">
        <f>GETPIVOTDATA("Sum of "&amp;T(Transactions!$K$19),Pivot!$A$3,"Customer",C28)</f>
        <v>106.23999999999997</v>
      </c>
      <c r="F28" s="64">
        <f t="shared" si="2"/>
        <v>-72.61706833442787</v>
      </c>
      <c r="G28" s="53">
        <f>+GETPIVOTDATA("Sum of "&amp;T(Transactions!$M$19),Pivot!$A$3,"Customer","Lighthouse")</f>
        <v>-2.433865745660134</v>
      </c>
      <c r="H28" s="53">
        <f>GETPIVOTDATA("Sum of "&amp;T(Transactions!$Q$19),Pivot!$A$3,"Customer",C28)</f>
        <v>0</v>
      </c>
      <c r="I28" s="65">
        <f t="shared" si="0"/>
        <v>-75.050934080087998</v>
      </c>
      <c r="J28" s="241"/>
      <c r="K28" s="242">
        <f t="shared" si="1"/>
        <v>-75.050934080087998</v>
      </c>
      <c r="L28" s="62"/>
      <c r="N28" s="52"/>
      <c r="O28" s="53"/>
      <c r="P28" s="53"/>
      <c r="Q28" s="53"/>
      <c r="R28" s="53"/>
      <c r="S28" s="53"/>
    </row>
    <row r="29" spans="2:19" x14ac:dyDescent="0.25">
      <c r="B29" s="62"/>
      <c r="C29" s="66" t="s">
        <v>58</v>
      </c>
      <c r="D29" s="64">
        <f>GETPIVOTDATA("Sum of "&amp;T(Transactions!$J$19),Pivot!$A$3,"Customer",C29)</f>
        <v>298.40351853195233</v>
      </c>
      <c r="E29" s="64">
        <f>GETPIVOTDATA("Sum of "&amp;T(Transactions!$K$19),Pivot!$A$3,"Customer",C29)</f>
        <v>942.88</v>
      </c>
      <c r="F29" s="64">
        <f t="shared" si="2"/>
        <v>-644.47648146804772</v>
      </c>
      <c r="G29" s="53">
        <f>+GETPIVOTDATA("Sum of "&amp;T(Transactions!$M$19),Pivot!$A$3,"Customer","Minden, LA")</f>
        <v>-21.600558492733697</v>
      </c>
      <c r="H29" s="53">
        <f>GETPIVOTDATA("Sum of "&amp;T(Transactions!$Q$19),Pivot!$A$3,"Customer",C29)</f>
        <v>0</v>
      </c>
      <c r="I29" s="65">
        <f t="shared" si="0"/>
        <v>-666.07703996078146</v>
      </c>
      <c r="J29" s="241"/>
      <c r="K29" s="242">
        <f t="shared" si="1"/>
        <v>-666.07703996078146</v>
      </c>
      <c r="L29" s="62"/>
      <c r="N29" s="52"/>
      <c r="O29" s="53"/>
      <c r="P29" s="53"/>
      <c r="Q29" s="53"/>
      <c r="R29" s="53"/>
      <c r="S29" s="53"/>
    </row>
    <row r="30" spans="2:19" x14ac:dyDescent="0.25">
      <c r="B30" s="62"/>
      <c r="C30" s="66" t="s">
        <v>19</v>
      </c>
      <c r="D30" s="64">
        <f>GETPIVOTDATA("Sum of "&amp;T(Transactions!$J$19),Pivot!$A$3,"Customer",C30)</f>
        <v>494.88752545263918</v>
      </c>
      <c r="E30" s="64">
        <f>GETPIVOTDATA("Sum of "&amp;T(Transactions!$K$19),Pivot!$A$3,"Customer",C30)</f>
        <v>1563.72</v>
      </c>
      <c r="F30" s="64">
        <f t="shared" si="2"/>
        <v>-1068.8324745473608</v>
      </c>
      <c r="G30" s="53">
        <f>+GETPIVOTDATA("Sum of "&amp;T(Transactions!$M$19),Pivot!$A$3,"Customer","OG&amp;E")</f>
        <v>-35.823461443935109</v>
      </c>
      <c r="H30" s="53">
        <f>GETPIVOTDATA("Sum of "&amp;T(Transactions!$Q$19),Pivot!$A$3,"Customer",C30)</f>
        <v>0</v>
      </c>
      <c r="I30" s="65">
        <f t="shared" si="0"/>
        <v>-1104.6559359912958</v>
      </c>
      <c r="J30" s="241"/>
      <c r="K30" s="242">
        <f t="shared" si="1"/>
        <v>-1104.6559359912958</v>
      </c>
      <c r="L30" s="62"/>
    </row>
    <row r="31" spans="2:19" x14ac:dyDescent="0.25">
      <c r="B31" s="62"/>
      <c r="C31" s="63" t="s">
        <v>8</v>
      </c>
      <c r="D31" s="64">
        <f>GETPIVOTDATA("Sum of "&amp;T(Transactions!$J$19),Pivot!$A$3,"Customer",C31)</f>
        <v>1278.7221199062883</v>
      </c>
      <c r="E31" s="64">
        <f>GETPIVOTDATA("Sum of "&amp;T(Transactions!$K$19),Pivot!$A$3,"Customer",C31)</f>
        <v>4040.44</v>
      </c>
      <c r="F31" s="64">
        <f t="shared" si="2"/>
        <v>-2761.7178800937118</v>
      </c>
      <c r="G31" s="53">
        <f>+GETPIVOTDATA("Sum of "&amp;T(Transactions!$M$19),Pivot!$A$3,"Customer","OMPA")</f>
        <v>-92.56295663963698</v>
      </c>
      <c r="H31" s="53">
        <f>GETPIVOTDATA("Sum of "&amp;T(Transactions!$Q$19),Pivot!$A$3,"Customer",C31)</f>
        <v>0</v>
      </c>
      <c r="I31" s="65">
        <f t="shared" si="0"/>
        <v>-2854.2808367333487</v>
      </c>
      <c r="J31" s="241"/>
      <c r="K31" s="242">
        <f t="shared" si="1"/>
        <v>-2854.2808367333487</v>
      </c>
      <c r="L31" s="62"/>
    </row>
    <row r="32" spans="2:19" x14ac:dyDescent="0.25">
      <c r="B32" s="62"/>
      <c r="C32" s="63" t="s">
        <v>57</v>
      </c>
      <c r="D32" s="64">
        <f>GETPIVOTDATA("Sum of "&amp;T(Transactions!$J$19),Pivot!$A$3,"Customer",C32)</f>
        <v>138.69459312048485</v>
      </c>
      <c r="E32" s="64">
        <f>GETPIVOTDATA("Sum of "&amp;T(Transactions!$K$19),Pivot!$A$3,"Customer",C32)</f>
        <v>438.23999999999995</v>
      </c>
      <c r="F32" s="64">
        <f t="shared" si="2"/>
        <v>-299.5454068795151</v>
      </c>
      <c r="G32" s="53">
        <f>+GETPIVOTDATA("Sum of "&amp;T(Transactions!$M$19),Pivot!$A$3,"Customer","Prescott, AR")</f>
        <v>-10.039696200848056</v>
      </c>
      <c r="H32" s="53">
        <f>GETPIVOTDATA("Sum of "&amp;T(Transactions!$Q$19),Pivot!$A$3,"Customer",C32)</f>
        <v>0</v>
      </c>
      <c r="I32" s="65">
        <f t="shared" si="0"/>
        <v>-309.58510308036318</v>
      </c>
      <c r="J32" s="241"/>
      <c r="K32" s="242">
        <f t="shared" si="1"/>
        <v>-309.58510308036318</v>
      </c>
      <c r="L32" s="62"/>
    </row>
    <row r="33" spans="2:12" x14ac:dyDescent="0.25">
      <c r="B33" s="62"/>
      <c r="C33" s="68" t="s">
        <v>9</v>
      </c>
      <c r="D33" s="64">
        <f>GETPIVOTDATA("Sum of "&amp;T(Transactions!$J$19),Pivot!$A$3,"Customer",C33)</f>
        <v>449.70671102702664</v>
      </c>
      <c r="E33" s="64">
        <f>GETPIVOTDATA("Sum of "&amp;T(Transactions!$K$19),Pivot!$A$3,"Customer",C33)</f>
        <v>1420.96</v>
      </c>
      <c r="F33" s="64">
        <f t="shared" si="2"/>
        <v>-971.25328897297345</v>
      </c>
      <c r="G33" s="53">
        <f>+GETPIVOTDATA("Sum of "&amp;T(Transactions!$M$19),Pivot!$A$3,"Customer","WFEC")</f>
        <v>-32.552954348204302</v>
      </c>
      <c r="H33" s="53">
        <f>GETPIVOTDATA("Sum of "&amp;T(Transactions!$Q$19),Pivot!$A$3,"Customer",C33)</f>
        <v>0</v>
      </c>
      <c r="I33" s="65">
        <f t="shared" si="0"/>
        <v>-1003.8062433211777</v>
      </c>
      <c r="J33" s="241"/>
      <c r="K33" s="242">
        <f t="shared" si="1"/>
        <v>-1003.8062433211777</v>
      </c>
      <c r="L33" s="62"/>
    </row>
    <row r="34" spans="2:12" ht="23" x14ac:dyDescent="0.25">
      <c r="C34" s="69" t="s">
        <v>44</v>
      </c>
      <c r="D34" s="70">
        <f t="shared" ref="D34:J34" si="3">SUM(D21:D33)</f>
        <v>25487.232919118193</v>
      </c>
      <c r="E34" s="70">
        <f t="shared" si="3"/>
        <v>80533.24000000002</v>
      </c>
      <c r="F34" s="70">
        <f t="shared" si="3"/>
        <v>-55046.007080881798</v>
      </c>
      <c r="G34" s="71">
        <f t="shared" si="3"/>
        <v>-1844.9462935149336</v>
      </c>
      <c r="H34" s="71">
        <f t="shared" si="3"/>
        <v>0</v>
      </c>
      <c r="I34" s="72">
        <f t="shared" si="3"/>
        <v>-56890.953374396733</v>
      </c>
      <c r="J34" s="243">
        <f t="shared" si="3"/>
        <v>0</v>
      </c>
      <c r="K34" s="244">
        <f t="shared" si="1"/>
        <v>-56890.953374396733</v>
      </c>
    </row>
    <row r="35" spans="2:12" x14ac:dyDescent="0.25">
      <c r="C35" s="73" t="s">
        <v>21</v>
      </c>
      <c r="D35" s="64">
        <f>GETPIVOTDATA("Sum of "&amp;T(Transactions!$J$19),Pivot!$A$3,"Customer",C35)</f>
        <v>37105.006526187906</v>
      </c>
      <c r="E35" s="64">
        <f>GETPIVOTDATA("Sum of "&amp;T(Transactions!$K$19),Pivot!$A$3,"Customer",C35)</f>
        <v>117242.48000000001</v>
      </c>
      <c r="F35" s="64">
        <f t="shared" si="2"/>
        <v>-80137.473473812104</v>
      </c>
      <c r="G35" s="53">
        <f>+GETPIVOTDATA("Sum of "&amp;T(Transactions!$M$19),Pivot!$A$3,"Customer","PSO")</f>
        <v>-2685.9229669450624</v>
      </c>
      <c r="H35" s="53">
        <f>GETPIVOTDATA("Sum of "&amp;T(Transactions!$Q$19),Pivot!$A$3,"Customer",C35)</f>
        <v>0</v>
      </c>
      <c r="I35" s="65">
        <f>F35+G35-H35</f>
        <v>-82823.396440757162</v>
      </c>
      <c r="J35" s="241"/>
      <c r="K35" s="242">
        <f t="shared" si="1"/>
        <v>-82823.396440757162</v>
      </c>
    </row>
    <row r="36" spans="2:12" x14ac:dyDescent="0.25">
      <c r="C36" s="74" t="s">
        <v>22</v>
      </c>
      <c r="D36" s="64">
        <f>GETPIVOTDATA("Sum of "&amp;T(Transactions!$J$19),Pivot!$A$3,"Customer",C36)</f>
        <v>35593.025317851701</v>
      </c>
      <c r="E36" s="64">
        <f>GETPIVOTDATA("Sum of "&amp;T(Transactions!$K$19),Pivot!$A$3,"Customer",C36)</f>
        <v>112465</v>
      </c>
      <c r="F36" s="64">
        <f>D36-E36</f>
        <v>-76871.974682148299</v>
      </c>
      <c r="G36" s="53">
        <f>+GETPIVOTDATA("Sum of "&amp;T(Transactions!$M$19),Pivot!$A$3,"Customer","SWEPCO")</f>
        <v>-2576.4750666949085</v>
      </c>
      <c r="H36" s="53">
        <f>GETPIVOTDATA("Sum of "&amp;T(Transactions!$Q$19),Pivot!$A$3,"Customer",C36)</f>
        <v>0</v>
      </c>
      <c r="I36" s="65">
        <f>F36+G36-H36</f>
        <v>-79448.44974884321</v>
      </c>
      <c r="J36" s="241"/>
      <c r="K36" s="242">
        <f t="shared" si="1"/>
        <v>-79448.44974884321</v>
      </c>
    </row>
    <row r="37" spans="2:12" x14ac:dyDescent="0.25">
      <c r="C37" s="75" t="s">
        <v>83</v>
      </c>
      <c r="D37" s="64">
        <f>GETPIVOTDATA("Sum of "&amp;T(Transactions!$J$19),Pivot!$A$3,"Customer",C37)</f>
        <v>1514.0826415652932</v>
      </c>
      <c r="E37" s="64">
        <f>GETPIVOTDATA("Sum of "&amp;T(Transactions!$K$19),Pivot!$A$3,"Customer",C37)</f>
        <v>4784.12</v>
      </c>
      <c r="F37" s="64">
        <f>D37-E37</f>
        <v>-3270.0373584347067</v>
      </c>
      <c r="G37" s="53">
        <f>+GETPIVOTDATA("Sum of "&amp;T(Transactions!$M$19),Pivot!$A$3,"Customer","SWEPCO-Valley")</f>
        <v>-109.60001685925795</v>
      </c>
      <c r="H37" s="53">
        <f>GETPIVOTDATA("Sum of "&amp;T(Transactions!$Q$19),Pivot!$A$3,"Customer",C37)</f>
        <v>0</v>
      </c>
      <c r="I37" s="65">
        <f>F37+G37-H37</f>
        <v>-3379.6373752939644</v>
      </c>
      <c r="J37" s="241"/>
      <c r="K37" s="242">
        <f t="shared" si="1"/>
        <v>-3379.6373752939644</v>
      </c>
    </row>
    <row r="38" spans="2:12" ht="23" x14ac:dyDescent="0.25">
      <c r="C38" s="76" t="s">
        <v>53</v>
      </c>
      <c r="D38" s="77">
        <f t="shared" ref="D38:I38" si="4">SUM(D35:D37)</f>
        <v>74212.114485604907</v>
      </c>
      <c r="E38" s="77">
        <f t="shared" si="4"/>
        <v>234491.6</v>
      </c>
      <c r="F38" s="77">
        <f t="shared" si="4"/>
        <v>-160279.48551439511</v>
      </c>
      <c r="G38" s="78">
        <f t="shared" si="4"/>
        <v>-5371.9980504992291</v>
      </c>
      <c r="H38" s="78">
        <f t="shared" si="4"/>
        <v>0</v>
      </c>
      <c r="I38" s="79">
        <f t="shared" si="4"/>
        <v>-165651.48356489433</v>
      </c>
      <c r="J38" s="245">
        <f>SUM(J35:J37)</f>
        <v>0</v>
      </c>
      <c r="K38" s="246">
        <f t="shared" si="1"/>
        <v>-165651.48356489433</v>
      </c>
    </row>
    <row r="39" spans="2:12" ht="23.25" customHeight="1" thickBot="1" x14ac:dyDescent="0.3">
      <c r="C39" s="80" t="s">
        <v>45</v>
      </c>
      <c r="D39" s="81">
        <f t="shared" ref="D39:I39" si="5">SUM(D34,D38)</f>
        <v>99699.347404723099</v>
      </c>
      <c r="E39" s="82">
        <f t="shared" si="5"/>
        <v>315024.84000000003</v>
      </c>
      <c r="F39" s="81">
        <f t="shared" si="5"/>
        <v>-215325.49259527691</v>
      </c>
      <c r="G39" s="82">
        <f t="shared" si="5"/>
        <v>-7216.9443440141622</v>
      </c>
      <c r="H39" s="82">
        <f t="shared" si="5"/>
        <v>0</v>
      </c>
      <c r="I39" s="83">
        <f t="shared" si="5"/>
        <v>-222542.43693929107</v>
      </c>
      <c r="J39" s="247">
        <f>SUM(J34,J38)</f>
        <v>0</v>
      </c>
      <c r="K39" s="248">
        <f t="shared" si="1"/>
        <v>-222542.43693929107</v>
      </c>
    </row>
    <row r="40" spans="2:12" x14ac:dyDescent="0.25">
      <c r="E40" s="52"/>
      <c r="F40" s="52"/>
      <c r="G40" s="52"/>
      <c r="H40" s="52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6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23"/>
  <sheetViews>
    <sheetView tabSelected="1" zoomScale="85" workbookViewId="0">
      <pane xSplit="2" ySplit="4" topLeftCell="C5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7265625" defaultRowHeight="12.5" x14ac:dyDescent="0.25"/>
  <cols>
    <col min="1" max="1" width="19.1796875" style="1" customWidth="1"/>
    <col min="2" max="2" width="27.81640625" style="1" bestFit="1" customWidth="1"/>
    <col min="3" max="14" width="14.7265625" style="1" bestFit="1" customWidth="1"/>
    <col min="15" max="15" width="10.36328125" style="1" bestFit="1" customWidth="1"/>
    <col min="16" max="16384" width="8.7265625" style="1"/>
  </cols>
  <sheetData>
    <row r="3" spans="1:15" x14ac:dyDescent="0.25">
      <c r="A3" s="84"/>
      <c r="B3" s="85"/>
      <c r="C3" s="86" t="s">
        <v>55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7"/>
    </row>
    <row r="4" spans="1:15" x14ac:dyDescent="0.25">
      <c r="A4" s="86" t="s">
        <v>0</v>
      </c>
      <c r="B4" s="86" t="s">
        <v>24</v>
      </c>
      <c r="C4" s="88">
        <v>43831</v>
      </c>
      <c r="D4" s="89">
        <v>43862</v>
      </c>
      <c r="E4" s="89">
        <v>43891</v>
      </c>
      <c r="F4" s="89">
        <v>43922</v>
      </c>
      <c r="G4" s="89">
        <v>43952</v>
      </c>
      <c r="H4" s="89">
        <v>43983</v>
      </c>
      <c r="I4" s="89">
        <v>44013</v>
      </c>
      <c r="J4" s="89">
        <v>44044</v>
      </c>
      <c r="K4" s="89">
        <v>44075</v>
      </c>
      <c r="L4" s="89">
        <v>44105</v>
      </c>
      <c r="M4" s="89">
        <v>44136</v>
      </c>
      <c r="N4" s="89">
        <v>44166</v>
      </c>
      <c r="O4" s="90" t="s">
        <v>18</v>
      </c>
    </row>
    <row r="5" spans="1:15" x14ac:dyDescent="0.25">
      <c r="A5" s="84" t="s">
        <v>14</v>
      </c>
      <c r="B5" s="84" t="s">
        <v>72</v>
      </c>
      <c r="C5" s="91">
        <v>791.18961075549328</v>
      </c>
      <c r="D5" s="92">
        <v>751.26237940262638</v>
      </c>
      <c r="E5" s="92">
        <v>535.8654734200552</v>
      </c>
      <c r="F5" s="92">
        <v>646.19071794771355</v>
      </c>
      <c r="G5" s="92">
        <v>578.94485461656939</v>
      </c>
      <c r="H5" s="92">
        <v>856.33404085753909</v>
      </c>
      <c r="I5" s="92">
        <v>857.38475747208827</v>
      </c>
      <c r="J5" s="92">
        <v>934.08707033417465</v>
      </c>
      <c r="K5" s="92">
        <v>806.9503599737302</v>
      </c>
      <c r="L5" s="92">
        <v>665.10361700959788</v>
      </c>
      <c r="M5" s="92">
        <v>671.4079166968927</v>
      </c>
      <c r="N5" s="92">
        <v>771.22599507905977</v>
      </c>
      <c r="O5" s="93">
        <v>8865.9467935655393</v>
      </c>
    </row>
    <row r="6" spans="1:15" ht="13" x14ac:dyDescent="0.3">
      <c r="A6" s="226"/>
      <c r="B6" s="94" t="s">
        <v>25</v>
      </c>
      <c r="C6" s="230">
        <v>-1708.7703892445068</v>
      </c>
      <c r="D6" s="231">
        <v>-1622.5376205973735</v>
      </c>
      <c r="E6" s="231">
        <v>-1157.3345265799446</v>
      </c>
      <c r="F6" s="231">
        <v>-1395.6092820522863</v>
      </c>
      <c r="G6" s="231">
        <v>-1250.3751453834307</v>
      </c>
      <c r="H6" s="231">
        <v>-1849.4659591424606</v>
      </c>
      <c r="I6" s="231">
        <v>-1851.7352425279116</v>
      </c>
      <c r="J6" s="231">
        <v>-2017.3929296658252</v>
      </c>
      <c r="K6" s="231">
        <v>-1742.8096400262696</v>
      </c>
      <c r="L6" s="231">
        <v>-1436.4563829904021</v>
      </c>
      <c r="M6" s="231">
        <v>-1450.0720833031073</v>
      </c>
      <c r="N6" s="231">
        <v>-1665.6540049209402</v>
      </c>
      <c r="O6" s="232">
        <v>-19148.213206434455</v>
      </c>
    </row>
    <row r="7" spans="1:15" ht="13" x14ac:dyDescent="0.3">
      <c r="A7" s="226"/>
      <c r="B7" s="94" t="s">
        <v>26</v>
      </c>
      <c r="C7" s="230">
        <v>-57.271903327565042</v>
      </c>
      <c r="D7" s="231">
        <v>-54.381687754593635</v>
      </c>
      <c r="E7" s="231">
        <v>-38.789735321458394</v>
      </c>
      <c r="F7" s="231">
        <v>-46.775857299405708</v>
      </c>
      <c r="G7" s="231">
        <v>-41.908125808085437</v>
      </c>
      <c r="H7" s="231">
        <v>-61.987518209781548</v>
      </c>
      <c r="I7" s="231">
        <v>-62.063576514333434</v>
      </c>
      <c r="J7" s="231">
        <v>-67.615832746620612</v>
      </c>
      <c r="K7" s="231">
        <v>-58.412777895843227</v>
      </c>
      <c r="L7" s="231">
        <v>-48.144906781339536</v>
      </c>
      <c r="M7" s="231">
        <v>-48.601256608650814</v>
      </c>
      <c r="N7" s="231">
        <v>-55.826795541079335</v>
      </c>
      <c r="O7" s="232">
        <v>-641.77997380875684</v>
      </c>
    </row>
    <row r="8" spans="1:15" ht="13" x14ac:dyDescent="0.3">
      <c r="A8" s="226"/>
      <c r="B8" s="94" t="s">
        <v>27</v>
      </c>
      <c r="C8" s="230">
        <v>-1766.0422925720718</v>
      </c>
      <c r="D8" s="231">
        <v>-1676.9193083519672</v>
      </c>
      <c r="E8" s="231">
        <v>-1196.1242619014031</v>
      </c>
      <c r="F8" s="231">
        <v>-1442.385139351692</v>
      </c>
      <c r="G8" s="231">
        <v>-1292.2832711915162</v>
      </c>
      <c r="H8" s="231">
        <v>-1911.4534773522421</v>
      </c>
      <c r="I8" s="231">
        <v>-1913.798819042245</v>
      </c>
      <c r="J8" s="231">
        <v>-2085.0087624124458</v>
      </c>
      <c r="K8" s="231">
        <v>-1801.2224179221128</v>
      </c>
      <c r="L8" s="231">
        <v>-1484.6012897717417</v>
      </c>
      <c r="M8" s="231">
        <v>-1498.6733399117581</v>
      </c>
      <c r="N8" s="231">
        <v>-1721.4808004620195</v>
      </c>
      <c r="O8" s="232">
        <v>-19789.993180243218</v>
      </c>
    </row>
    <row r="9" spans="1:15" x14ac:dyDescent="0.25">
      <c r="A9" s="226"/>
      <c r="B9" s="94" t="s">
        <v>51</v>
      </c>
      <c r="C9" s="95">
        <v>2499.96</v>
      </c>
      <c r="D9" s="96">
        <v>2373.7999999999997</v>
      </c>
      <c r="E9" s="96">
        <v>1693.1999999999998</v>
      </c>
      <c r="F9" s="96">
        <v>2041.8</v>
      </c>
      <c r="G9" s="96">
        <v>1829.32</v>
      </c>
      <c r="H9" s="96">
        <v>2705.7999999999997</v>
      </c>
      <c r="I9" s="96">
        <v>2709.12</v>
      </c>
      <c r="J9" s="96">
        <v>2951.48</v>
      </c>
      <c r="K9" s="96">
        <v>2549.7599999999998</v>
      </c>
      <c r="L9" s="96">
        <v>2101.56</v>
      </c>
      <c r="M9" s="96">
        <v>2121.48</v>
      </c>
      <c r="N9" s="96">
        <v>2436.88</v>
      </c>
      <c r="O9" s="97">
        <v>28014.16</v>
      </c>
    </row>
    <row r="10" spans="1:15" x14ac:dyDescent="0.25">
      <c r="A10" s="226"/>
      <c r="B10" s="94" t="s">
        <v>89</v>
      </c>
      <c r="C10" s="95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7">
        <v>0</v>
      </c>
    </row>
    <row r="11" spans="1:15" x14ac:dyDescent="0.25">
      <c r="A11" s="226"/>
      <c r="B11" s="94" t="s">
        <v>91</v>
      </c>
      <c r="C11" s="95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7">
        <v>0</v>
      </c>
    </row>
    <row r="12" spans="1:15" x14ac:dyDescent="0.25">
      <c r="A12" s="84" t="s">
        <v>17</v>
      </c>
      <c r="B12" s="84" t="s">
        <v>72</v>
      </c>
      <c r="C12" s="91">
        <v>111.37596114220754</v>
      </c>
      <c r="D12" s="92">
        <v>108.22381129856016</v>
      </c>
      <c r="E12" s="92">
        <v>27.318631978277324</v>
      </c>
      <c r="F12" s="92">
        <v>101.91951161126539</v>
      </c>
      <c r="G12" s="92">
        <v>84.05732916393022</v>
      </c>
      <c r="H12" s="92">
        <v>104.02094484036365</v>
      </c>
      <c r="I12" s="92">
        <v>116.62954421495319</v>
      </c>
      <c r="J12" s="92">
        <v>117.68026082950232</v>
      </c>
      <c r="K12" s="92">
        <v>119.78169405860056</v>
      </c>
      <c r="L12" s="92">
        <v>100.86879499671628</v>
      </c>
      <c r="M12" s="92">
        <v>105.07166145491279</v>
      </c>
      <c r="N12" s="92">
        <v>110.32524452765841</v>
      </c>
      <c r="O12" s="93">
        <v>1207.2733901169479</v>
      </c>
    </row>
    <row r="13" spans="1:15" ht="13" x14ac:dyDescent="0.3">
      <c r="A13" s="226"/>
      <c r="B13" s="94" t="s">
        <v>25</v>
      </c>
      <c r="C13" s="230">
        <v>-240.54403885779243</v>
      </c>
      <c r="D13" s="231">
        <v>-233.7361887014398</v>
      </c>
      <c r="E13" s="231">
        <v>-59.001368021722669</v>
      </c>
      <c r="F13" s="231">
        <v>-220.12048838873457</v>
      </c>
      <c r="G13" s="231">
        <v>-181.54267083606976</v>
      </c>
      <c r="H13" s="231">
        <v>-224.65905515963635</v>
      </c>
      <c r="I13" s="231">
        <v>-251.89045578504681</v>
      </c>
      <c r="J13" s="231">
        <v>-254.15973917049766</v>
      </c>
      <c r="K13" s="231">
        <v>-258.69830594139938</v>
      </c>
      <c r="L13" s="231">
        <v>-217.8512050032837</v>
      </c>
      <c r="M13" s="231">
        <v>-226.92833854508723</v>
      </c>
      <c r="N13" s="231">
        <v>-238.27475547234155</v>
      </c>
      <c r="O13" s="232">
        <v>-2607.4066098830522</v>
      </c>
    </row>
    <row r="14" spans="1:15" ht="13" x14ac:dyDescent="0.3">
      <c r="A14" s="226"/>
      <c r="B14" s="94" t="s">
        <v>26</v>
      </c>
      <c r="C14" s="230">
        <v>-8.062180282499197</v>
      </c>
      <c r="D14" s="231">
        <v>-7.8340053688435587</v>
      </c>
      <c r="E14" s="231">
        <v>-1.9775159183488593</v>
      </c>
      <c r="F14" s="231">
        <v>-7.3776555415322829</v>
      </c>
      <c r="G14" s="231">
        <v>-6.0846643641503366</v>
      </c>
      <c r="H14" s="231">
        <v>-7.5297721506360409</v>
      </c>
      <c r="I14" s="231">
        <v>-8.4424718052585916</v>
      </c>
      <c r="J14" s="231">
        <v>-8.5185301098104702</v>
      </c>
      <c r="K14" s="231">
        <v>-8.6706467189142291</v>
      </c>
      <c r="L14" s="231">
        <v>-7.3015972369804034</v>
      </c>
      <c r="M14" s="231">
        <v>-7.6058304551879203</v>
      </c>
      <c r="N14" s="231">
        <v>-7.9861219779473167</v>
      </c>
      <c r="O14" s="232">
        <v>-87.390991930109195</v>
      </c>
    </row>
    <row r="15" spans="1:15" ht="13" x14ac:dyDescent="0.3">
      <c r="A15" s="226"/>
      <c r="B15" s="94" t="s">
        <v>27</v>
      </c>
      <c r="C15" s="230">
        <v>-248.60621914029161</v>
      </c>
      <c r="D15" s="231">
        <v>-241.57019407028335</v>
      </c>
      <c r="E15" s="231">
        <v>-60.978883940071526</v>
      </c>
      <c r="F15" s="231">
        <v>-227.49814393026685</v>
      </c>
      <c r="G15" s="231">
        <v>-187.6273352002201</v>
      </c>
      <c r="H15" s="231">
        <v>-232.18882731027239</v>
      </c>
      <c r="I15" s="231">
        <v>-260.33292759030542</v>
      </c>
      <c r="J15" s="231">
        <v>-262.67826928030814</v>
      </c>
      <c r="K15" s="231">
        <v>-267.3689526603136</v>
      </c>
      <c r="L15" s="231">
        <v>-225.15280224026409</v>
      </c>
      <c r="M15" s="231">
        <v>-234.53416900027514</v>
      </c>
      <c r="N15" s="231">
        <v>-246.26087745028886</v>
      </c>
      <c r="O15" s="232">
        <v>-2694.7976018131612</v>
      </c>
    </row>
    <row r="16" spans="1:15" x14ac:dyDescent="0.25">
      <c r="A16" s="226"/>
      <c r="B16" s="94" t="s">
        <v>51</v>
      </c>
      <c r="C16" s="95">
        <v>351.91999999999996</v>
      </c>
      <c r="D16" s="96">
        <v>341.96</v>
      </c>
      <c r="E16" s="96">
        <v>86.32</v>
      </c>
      <c r="F16" s="96">
        <v>322.03999999999996</v>
      </c>
      <c r="G16" s="96">
        <v>265.59999999999997</v>
      </c>
      <c r="H16" s="96">
        <v>328.68</v>
      </c>
      <c r="I16" s="96">
        <v>368.52</v>
      </c>
      <c r="J16" s="96">
        <v>371.84</v>
      </c>
      <c r="K16" s="96">
        <v>378.47999999999996</v>
      </c>
      <c r="L16" s="96">
        <v>318.71999999999997</v>
      </c>
      <c r="M16" s="96">
        <v>332</v>
      </c>
      <c r="N16" s="96">
        <v>348.59999999999997</v>
      </c>
      <c r="O16" s="97">
        <v>3814.68</v>
      </c>
    </row>
    <row r="17" spans="1:15" x14ac:dyDescent="0.25">
      <c r="A17" s="226"/>
      <c r="B17" s="94" t="s">
        <v>89</v>
      </c>
      <c r="C17" s="95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7">
        <v>0</v>
      </c>
    </row>
    <row r="18" spans="1:15" x14ac:dyDescent="0.25">
      <c r="A18" s="226"/>
      <c r="B18" s="94" t="s">
        <v>91</v>
      </c>
      <c r="C18" s="95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7">
        <v>0</v>
      </c>
    </row>
    <row r="19" spans="1:15" x14ac:dyDescent="0.25">
      <c r="A19" s="84" t="s">
        <v>13</v>
      </c>
      <c r="B19" s="84" t="s">
        <v>72</v>
      </c>
      <c r="C19" s="91">
        <v>1022.3472659563014</v>
      </c>
      <c r="D19" s="92">
        <v>1041.2601650181857</v>
      </c>
      <c r="E19" s="92">
        <v>614.6692195112397</v>
      </c>
      <c r="F19" s="92">
        <v>682.96579945693304</v>
      </c>
      <c r="G19" s="92">
        <v>722.89303080979994</v>
      </c>
      <c r="H19" s="92">
        <v>877.34837314852166</v>
      </c>
      <c r="I19" s="92">
        <v>954.05068601060805</v>
      </c>
      <c r="J19" s="92">
        <v>950.89853616696064</v>
      </c>
      <c r="K19" s="92">
        <v>796.44319382823892</v>
      </c>
      <c r="L19" s="92">
        <v>749.16094617352815</v>
      </c>
      <c r="M19" s="92">
        <v>801.69677690098456</v>
      </c>
      <c r="N19" s="92">
        <v>1038.1080151745382</v>
      </c>
      <c r="O19" s="93">
        <v>10251.84200815584</v>
      </c>
    </row>
    <row r="20" spans="1:15" ht="13" x14ac:dyDescent="0.3">
      <c r="A20" s="226"/>
      <c r="B20" s="94" t="s">
        <v>25</v>
      </c>
      <c r="C20" s="230">
        <v>-2208.0127340436984</v>
      </c>
      <c r="D20" s="231">
        <v>-2248.8598349818139</v>
      </c>
      <c r="E20" s="231">
        <v>-1327.5307804887602</v>
      </c>
      <c r="F20" s="231">
        <v>-1475.0342005430671</v>
      </c>
      <c r="G20" s="231">
        <v>-1561.2669691901999</v>
      </c>
      <c r="H20" s="231">
        <v>-1894.8516268514782</v>
      </c>
      <c r="I20" s="231">
        <v>-2060.509313989392</v>
      </c>
      <c r="J20" s="231">
        <v>-2053.7014638330393</v>
      </c>
      <c r="K20" s="231">
        <v>-1720.116806171761</v>
      </c>
      <c r="L20" s="231">
        <v>-1617.9990538264717</v>
      </c>
      <c r="M20" s="231">
        <v>-1731.4632230990153</v>
      </c>
      <c r="N20" s="231">
        <v>-2242.0519848254617</v>
      </c>
      <c r="O20" s="232">
        <v>-22141.397991844158</v>
      </c>
    </row>
    <row r="21" spans="1:15" ht="13" x14ac:dyDescent="0.3">
      <c r="A21" s="226"/>
      <c r="B21" s="94" t="s">
        <v>26</v>
      </c>
      <c r="C21" s="230">
        <v>-74.004730328978468</v>
      </c>
      <c r="D21" s="231">
        <v>-75.373779810912296</v>
      </c>
      <c r="E21" s="231">
        <v>-44.494108162849336</v>
      </c>
      <c r="F21" s="231">
        <v>-49.437897958721486</v>
      </c>
      <c r="G21" s="231">
        <v>-52.328113531692892</v>
      </c>
      <c r="H21" s="231">
        <v>-63.508684300819134</v>
      </c>
      <c r="I21" s="231">
        <v>-69.060940533106319</v>
      </c>
      <c r="J21" s="231">
        <v>-68.832765619450683</v>
      </c>
      <c r="K21" s="231">
        <v>-57.652194850324435</v>
      </c>
      <c r="L21" s="231">
        <v>-54.229571145489878</v>
      </c>
      <c r="M21" s="231">
        <v>-58.032486373083835</v>
      </c>
      <c r="N21" s="231">
        <v>-75.145604897256646</v>
      </c>
      <c r="O21" s="232">
        <v>-742.10087751268543</v>
      </c>
    </row>
    <row r="22" spans="1:15" ht="13" x14ac:dyDescent="0.3">
      <c r="A22" s="226"/>
      <c r="B22" s="94" t="s">
        <v>27</v>
      </c>
      <c r="C22" s="230">
        <v>-2282.0174643726768</v>
      </c>
      <c r="D22" s="231">
        <v>-2324.2336147927263</v>
      </c>
      <c r="E22" s="231">
        <v>-1372.0248886516097</v>
      </c>
      <c r="F22" s="231">
        <v>-1524.4720985017887</v>
      </c>
      <c r="G22" s="231">
        <v>-1613.5950827218928</v>
      </c>
      <c r="H22" s="231">
        <v>-1958.3603111522973</v>
      </c>
      <c r="I22" s="231">
        <v>-2129.5702545224985</v>
      </c>
      <c r="J22" s="231">
        <v>-2122.5342294524899</v>
      </c>
      <c r="K22" s="231">
        <v>-1777.7690010220854</v>
      </c>
      <c r="L22" s="231">
        <v>-1672.2286249719616</v>
      </c>
      <c r="M22" s="231">
        <v>-1789.4957094720992</v>
      </c>
      <c r="N22" s="231">
        <v>-2317.1975897227185</v>
      </c>
      <c r="O22" s="232">
        <v>-22883.498869356845</v>
      </c>
    </row>
    <row r="23" spans="1:15" x14ac:dyDescent="0.25">
      <c r="A23" s="226"/>
      <c r="B23" s="94" t="s">
        <v>51</v>
      </c>
      <c r="C23" s="95">
        <v>3230.3599999999997</v>
      </c>
      <c r="D23" s="96">
        <v>3290.12</v>
      </c>
      <c r="E23" s="96">
        <v>1942.1999999999998</v>
      </c>
      <c r="F23" s="96">
        <v>2158</v>
      </c>
      <c r="G23" s="96">
        <v>2284.16</v>
      </c>
      <c r="H23" s="96">
        <v>2772.2</v>
      </c>
      <c r="I23" s="96">
        <v>3014.56</v>
      </c>
      <c r="J23" s="96">
        <v>3004.6</v>
      </c>
      <c r="K23" s="96">
        <v>2516.56</v>
      </c>
      <c r="L23" s="96">
        <v>2367.16</v>
      </c>
      <c r="M23" s="96">
        <v>2533.16</v>
      </c>
      <c r="N23" s="96">
        <v>3280.16</v>
      </c>
      <c r="O23" s="97">
        <v>32393.24</v>
      </c>
    </row>
    <row r="24" spans="1:15" x14ac:dyDescent="0.25">
      <c r="A24" s="226"/>
      <c r="B24" s="94" t="s">
        <v>89</v>
      </c>
      <c r="C24" s="95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7">
        <v>0</v>
      </c>
    </row>
    <row r="25" spans="1:15" x14ac:dyDescent="0.25">
      <c r="A25" s="226"/>
      <c r="B25" s="94" t="s">
        <v>91</v>
      </c>
      <c r="C25" s="95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7">
        <v>0</v>
      </c>
    </row>
    <row r="26" spans="1:15" x14ac:dyDescent="0.25">
      <c r="A26" s="84" t="s">
        <v>15</v>
      </c>
      <c r="B26" s="84" t="s">
        <v>72</v>
      </c>
      <c r="C26" s="91">
        <v>6.3042996872947672</v>
      </c>
      <c r="D26" s="92">
        <v>5.2535830727456387</v>
      </c>
      <c r="E26" s="92">
        <v>4.2028664581965112</v>
      </c>
      <c r="F26" s="92">
        <v>7.3550163018438948</v>
      </c>
      <c r="G26" s="92">
        <v>11.557882760040405</v>
      </c>
      <c r="H26" s="92">
        <v>12.608599374589534</v>
      </c>
      <c r="I26" s="92">
        <v>18.9128990618843</v>
      </c>
      <c r="J26" s="92">
        <v>16.811465832786045</v>
      </c>
      <c r="K26" s="92">
        <v>6.3042996872947672</v>
      </c>
      <c r="L26" s="92">
        <v>7.3550163018438948</v>
      </c>
      <c r="M26" s="92">
        <v>6.3042996872947672</v>
      </c>
      <c r="N26" s="92">
        <v>8.4057329163930223</v>
      </c>
      <c r="O26" s="93">
        <v>111.37596114220756</v>
      </c>
    </row>
    <row r="27" spans="1:15" ht="13" x14ac:dyDescent="0.3">
      <c r="A27" s="226"/>
      <c r="B27" s="94" t="s">
        <v>25</v>
      </c>
      <c r="C27" s="230">
        <v>-13.615700312705231</v>
      </c>
      <c r="D27" s="231">
        <v>-11.34641692725436</v>
      </c>
      <c r="E27" s="231">
        <v>-9.0771335418034873</v>
      </c>
      <c r="F27" s="231">
        <v>-15.884983698156104</v>
      </c>
      <c r="G27" s="231">
        <v>-24.962117239959589</v>
      </c>
      <c r="H27" s="231">
        <v>-27.231400625410462</v>
      </c>
      <c r="I27" s="231">
        <v>-40.847100938115702</v>
      </c>
      <c r="J27" s="231">
        <v>-36.308534167213949</v>
      </c>
      <c r="K27" s="231">
        <v>-13.615700312705231</v>
      </c>
      <c r="L27" s="231">
        <v>-15.884983698156104</v>
      </c>
      <c r="M27" s="231">
        <v>-13.615700312705231</v>
      </c>
      <c r="N27" s="231">
        <v>-18.154267083606975</v>
      </c>
      <c r="O27" s="232">
        <v>-240.54403885779243</v>
      </c>
    </row>
    <row r="28" spans="1:15" ht="13" x14ac:dyDescent="0.3">
      <c r="A28" s="226"/>
      <c r="B28" s="94" t="s">
        <v>26</v>
      </c>
      <c r="C28" s="230">
        <v>-0.45634982731127521</v>
      </c>
      <c r="D28" s="231">
        <v>-0.38029152275939604</v>
      </c>
      <c r="E28" s="231">
        <v>-0.30423321820751681</v>
      </c>
      <c r="F28" s="231">
        <v>-0.53240813186315439</v>
      </c>
      <c r="G28" s="231">
        <v>-0.83664135007067131</v>
      </c>
      <c r="H28" s="231">
        <v>-0.91269965462255043</v>
      </c>
      <c r="I28" s="231">
        <v>-1.3690494819338257</v>
      </c>
      <c r="J28" s="231">
        <v>-1.2169328728300672</v>
      </c>
      <c r="K28" s="231">
        <v>-0.45634982731127521</v>
      </c>
      <c r="L28" s="231">
        <v>-0.53240813186315439</v>
      </c>
      <c r="M28" s="231">
        <v>-0.45634982731127521</v>
      </c>
      <c r="N28" s="231">
        <v>-0.60846643641503362</v>
      </c>
      <c r="O28" s="232">
        <v>-8.0621802824991953</v>
      </c>
    </row>
    <row r="29" spans="1:15" ht="13" x14ac:dyDescent="0.3">
      <c r="A29" s="226"/>
      <c r="B29" s="94" t="s">
        <v>27</v>
      </c>
      <c r="C29" s="230">
        <v>-14.072050140016506</v>
      </c>
      <c r="D29" s="231">
        <v>-11.726708450013756</v>
      </c>
      <c r="E29" s="231">
        <v>-9.3813667600110033</v>
      </c>
      <c r="F29" s="231">
        <v>-16.417391830019259</v>
      </c>
      <c r="G29" s="231">
        <v>-25.798758590030261</v>
      </c>
      <c r="H29" s="231">
        <v>-28.144100280033012</v>
      </c>
      <c r="I29" s="231">
        <v>-42.21615042004953</v>
      </c>
      <c r="J29" s="231">
        <v>-37.525467040044013</v>
      </c>
      <c r="K29" s="231">
        <v>-14.072050140016506</v>
      </c>
      <c r="L29" s="231">
        <v>-16.417391830019259</v>
      </c>
      <c r="M29" s="231">
        <v>-14.072050140016506</v>
      </c>
      <c r="N29" s="231">
        <v>-18.762733520022007</v>
      </c>
      <c r="O29" s="232">
        <v>-248.60621914029161</v>
      </c>
    </row>
    <row r="30" spans="1:15" x14ac:dyDescent="0.25">
      <c r="A30" s="226"/>
      <c r="B30" s="94" t="s">
        <v>51</v>
      </c>
      <c r="C30" s="95">
        <v>19.919999999999998</v>
      </c>
      <c r="D30" s="96">
        <v>16.599999999999998</v>
      </c>
      <c r="E30" s="96">
        <v>13.28</v>
      </c>
      <c r="F30" s="96">
        <v>23.24</v>
      </c>
      <c r="G30" s="96">
        <v>36.519999999999996</v>
      </c>
      <c r="H30" s="96">
        <v>39.839999999999996</v>
      </c>
      <c r="I30" s="96">
        <v>59.76</v>
      </c>
      <c r="J30" s="96">
        <v>53.12</v>
      </c>
      <c r="K30" s="96">
        <v>19.919999999999998</v>
      </c>
      <c r="L30" s="96">
        <v>23.24</v>
      </c>
      <c r="M30" s="96">
        <v>19.919999999999998</v>
      </c>
      <c r="N30" s="96">
        <v>26.56</v>
      </c>
      <c r="O30" s="97">
        <v>351.92</v>
      </c>
    </row>
    <row r="31" spans="1:15" x14ac:dyDescent="0.25">
      <c r="A31" s="226"/>
      <c r="B31" s="94" t="s">
        <v>89</v>
      </c>
      <c r="C31" s="95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7">
        <v>0</v>
      </c>
    </row>
    <row r="32" spans="1:15" x14ac:dyDescent="0.25">
      <c r="A32" s="226"/>
      <c r="B32" s="94" t="s">
        <v>91</v>
      </c>
      <c r="C32" s="95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7">
        <v>0</v>
      </c>
    </row>
    <row r="33" spans="1:15" x14ac:dyDescent="0.25">
      <c r="A33" s="84" t="s">
        <v>16</v>
      </c>
      <c r="B33" s="84" t="s">
        <v>72</v>
      </c>
      <c r="C33" s="91">
        <v>2.1014332290982556</v>
      </c>
      <c r="D33" s="92">
        <v>3.1521498436473836</v>
      </c>
      <c r="E33" s="92">
        <v>1.0507166145491278</v>
      </c>
      <c r="F33" s="92">
        <v>2.1014332290982556</v>
      </c>
      <c r="G33" s="92">
        <v>2.1014332290982556</v>
      </c>
      <c r="H33" s="92">
        <v>4.2028664581965112</v>
      </c>
      <c r="I33" s="92">
        <v>6.3042996872947672</v>
      </c>
      <c r="J33" s="92">
        <v>5.2535830727456387</v>
      </c>
      <c r="K33" s="92">
        <v>2.1014332290982556</v>
      </c>
      <c r="L33" s="92">
        <v>1.0507166145491278</v>
      </c>
      <c r="M33" s="92">
        <v>3.1521498436473836</v>
      </c>
      <c r="N33" s="92">
        <v>1.0507166145491278</v>
      </c>
      <c r="O33" s="93">
        <v>33.622931665572096</v>
      </c>
    </row>
    <row r="34" spans="1:15" ht="13" x14ac:dyDescent="0.3">
      <c r="A34" s="226"/>
      <c r="B34" s="94" t="s">
        <v>25</v>
      </c>
      <c r="C34" s="230">
        <v>-4.5385667709017437</v>
      </c>
      <c r="D34" s="231">
        <v>-6.8078501563526155</v>
      </c>
      <c r="E34" s="231">
        <v>-2.2692833854508718</v>
      </c>
      <c r="F34" s="231">
        <v>-4.5385667709017437</v>
      </c>
      <c r="G34" s="231">
        <v>-4.5385667709017437</v>
      </c>
      <c r="H34" s="231">
        <v>-9.0771335418034873</v>
      </c>
      <c r="I34" s="231">
        <v>-13.615700312705231</v>
      </c>
      <c r="J34" s="231">
        <v>-11.34641692725436</v>
      </c>
      <c r="K34" s="231">
        <v>-4.5385667709017437</v>
      </c>
      <c r="L34" s="231">
        <v>-2.2692833854508718</v>
      </c>
      <c r="M34" s="231">
        <v>-6.8078501563526155</v>
      </c>
      <c r="N34" s="231">
        <v>-2.2692833854508718</v>
      </c>
      <c r="O34" s="232">
        <v>-72.617068334427913</v>
      </c>
    </row>
    <row r="35" spans="1:15" ht="13" x14ac:dyDescent="0.3">
      <c r="A35" s="226"/>
      <c r="B35" s="94" t="s">
        <v>26</v>
      </c>
      <c r="C35" s="230">
        <v>-0.1521166091037584</v>
      </c>
      <c r="D35" s="231">
        <v>-0.22817491365563761</v>
      </c>
      <c r="E35" s="231">
        <v>-7.6058304551879202E-2</v>
      </c>
      <c r="F35" s="231">
        <v>-0.1521166091037584</v>
      </c>
      <c r="G35" s="231">
        <v>-0.1521166091037584</v>
      </c>
      <c r="H35" s="231">
        <v>-0.30423321820751681</v>
      </c>
      <c r="I35" s="231">
        <v>-0.45634982731127521</v>
      </c>
      <c r="J35" s="231">
        <v>-0.38029152275939604</v>
      </c>
      <c r="K35" s="231">
        <v>-0.1521166091037584</v>
      </c>
      <c r="L35" s="231">
        <v>-7.6058304551879202E-2</v>
      </c>
      <c r="M35" s="231">
        <v>-0.22817491365563761</v>
      </c>
      <c r="N35" s="231">
        <v>-7.6058304551879202E-2</v>
      </c>
      <c r="O35" s="232">
        <v>-2.433865745660134</v>
      </c>
    </row>
    <row r="36" spans="1:15" ht="13" x14ac:dyDescent="0.3">
      <c r="A36" s="226"/>
      <c r="B36" s="94" t="s">
        <v>27</v>
      </c>
      <c r="C36" s="230">
        <v>-4.6906833800055017</v>
      </c>
      <c r="D36" s="231">
        <v>-7.0360250700082529</v>
      </c>
      <c r="E36" s="231">
        <v>-2.3453416900027508</v>
      </c>
      <c r="F36" s="231">
        <v>-4.6906833800055017</v>
      </c>
      <c r="G36" s="231">
        <v>-4.6906833800055017</v>
      </c>
      <c r="H36" s="231">
        <v>-9.3813667600110033</v>
      </c>
      <c r="I36" s="231">
        <v>-14.072050140016506</v>
      </c>
      <c r="J36" s="231">
        <v>-11.726708450013756</v>
      </c>
      <c r="K36" s="231">
        <v>-4.6906833800055017</v>
      </c>
      <c r="L36" s="231">
        <v>-2.3453416900027508</v>
      </c>
      <c r="M36" s="231">
        <v>-7.0360250700082529</v>
      </c>
      <c r="N36" s="231">
        <v>-2.3453416900027508</v>
      </c>
      <c r="O36" s="232">
        <v>-75.050934080088027</v>
      </c>
    </row>
    <row r="37" spans="1:15" x14ac:dyDescent="0.25">
      <c r="A37" s="226"/>
      <c r="B37" s="94" t="s">
        <v>51</v>
      </c>
      <c r="C37" s="95">
        <v>6.64</v>
      </c>
      <c r="D37" s="96">
        <v>9.9599999999999991</v>
      </c>
      <c r="E37" s="96">
        <v>3.32</v>
      </c>
      <c r="F37" s="96">
        <v>6.64</v>
      </c>
      <c r="G37" s="96">
        <v>6.64</v>
      </c>
      <c r="H37" s="96">
        <v>13.28</v>
      </c>
      <c r="I37" s="96">
        <v>19.919999999999998</v>
      </c>
      <c r="J37" s="96">
        <v>16.599999999999998</v>
      </c>
      <c r="K37" s="96">
        <v>6.64</v>
      </c>
      <c r="L37" s="96">
        <v>3.32</v>
      </c>
      <c r="M37" s="96">
        <v>9.9599999999999991</v>
      </c>
      <c r="N37" s="96">
        <v>3.32</v>
      </c>
      <c r="O37" s="97">
        <v>106.23999999999997</v>
      </c>
    </row>
    <row r="38" spans="1:15" x14ac:dyDescent="0.25">
      <c r="A38" s="226"/>
      <c r="B38" s="94" t="s">
        <v>89</v>
      </c>
      <c r="C38" s="95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7">
        <v>0</v>
      </c>
    </row>
    <row r="39" spans="1:15" x14ac:dyDescent="0.25">
      <c r="A39" s="226"/>
      <c r="B39" s="94" t="s">
        <v>91</v>
      </c>
      <c r="C39" s="95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7">
        <v>0</v>
      </c>
    </row>
    <row r="40" spans="1:15" x14ac:dyDescent="0.25">
      <c r="A40" s="84" t="s">
        <v>19</v>
      </c>
      <c r="B40" s="84" t="s">
        <v>72</v>
      </c>
      <c r="C40" s="91">
        <v>40.977947967415986</v>
      </c>
      <c r="D40" s="92">
        <v>43.079381196514241</v>
      </c>
      <c r="E40" s="92">
        <v>37.8257981237686</v>
      </c>
      <c r="F40" s="92">
        <v>32.572215051022958</v>
      </c>
      <c r="G40" s="92">
        <v>33.622931665572089</v>
      </c>
      <c r="H40" s="92">
        <v>40.977947967415986</v>
      </c>
      <c r="I40" s="92">
        <v>46.23153104016162</v>
      </c>
      <c r="J40" s="92">
        <v>39.927231352866855</v>
      </c>
      <c r="K40" s="92">
        <v>43.079381196514241</v>
      </c>
      <c r="L40" s="92">
        <v>44.130097811063365</v>
      </c>
      <c r="M40" s="92">
        <v>47.282247654710751</v>
      </c>
      <c r="N40" s="92">
        <v>45.180814425612496</v>
      </c>
      <c r="O40" s="93">
        <v>494.88752545263918</v>
      </c>
    </row>
    <row r="41" spans="1:15" ht="13" x14ac:dyDescent="0.3">
      <c r="A41" s="226"/>
      <c r="B41" s="94" t="s">
        <v>25</v>
      </c>
      <c r="C41" s="230">
        <v>-88.502052032584004</v>
      </c>
      <c r="D41" s="231">
        <v>-93.040618803485756</v>
      </c>
      <c r="E41" s="231">
        <v>-81.694201876231404</v>
      </c>
      <c r="F41" s="231">
        <v>-70.347784948977051</v>
      </c>
      <c r="G41" s="231">
        <v>-72.617068334427898</v>
      </c>
      <c r="H41" s="231">
        <v>-88.502052032584004</v>
      </c>
      <c r="I41" s="231">
        <v>-99.848468959838357</v>
      </c>
      <c r="J41" s="231">
        <v>-86.232768647133142</v>
      </c>
      <c r="K41" s="231">
        <v>-93.040618803485756</v>
      </c>
      <c r="L41" s="231">
        <v>-95.309902188936633</v>
      </c>
      <c r="M41" s="231">
        <v>-102.11775234528926</v>
      </c>
      <c r="N41" s="231">
        <v>-97.579185574387495</v>
      </c>
      <c r="O41" s="232">
        <v>-1068.832474547361</v>
      </c>
    </row>
    <row r="42" spans="1:15" ht="13" x14ac:dyDescent="0.3">
      <c r="A42" s="226"/>
      <c r="B42" s="94" t="s">
        <v>26</v>
      </c>
      <c r="C42" s="230">
        <v>-2.9662738775232889</v>
      </c>
      <c r="D42" s="231">
        <v>-3.1183904866270478</v>
      </c>
      <c r="E42" s="231">
        <v>-2.7380989638676514</v>
      </c>
      <c r="F42" s="231">
        <v>-2.357807441108255</v>
      </c>
      <c r="G42" s="231">
        <v>-2.4338657456601345</v>
      </c>
      <c r="H42" s="231">
        <v>-2.9662738775232889</v>
      </c>
      <c r="I42" s="231">
        <v>-3.3465654002826852</v>
      </c>
      <c r="J42" s="231">
        <v>-2.8902155729714099</v>
      </c>
      <c r="K42" s="231">
        <v>-3.1183904866270478</v>
      </c>
      <c r="L42" s="231">
        <v>-3.1944487911789263</v>
      </c>
      <c r="M42" s="231">
        <v>-3.4226237048345642</v>
      </c>
      <c r="N42" s="231">
        <v>-3.2705070957308058</v>
      </c>
      <c r="O42" s="232">
        <v>-35.823461443935109</v>
      </c>
    </row>
    <row r="43" spans="1:15" ht="13" x14ac:dyDescent="0.3">
      <c r="A43" s="226"/>
      <c r="B43" s="94" t="s">
        <v>27</v>
      </c>
      <c r="C43" s="230">
        <v>-91.468325910107296</v>
      </c>
      <c r="D43" s="231">
        <v>-96.159009290112806</v>
      </c>
      <c r="E43" s="231">
        <v>-84.43230084009906</v>
      </c>
      <c r="F43" s="231">
        <v>-72.7055923900853</v>
      </c>
      <c r="G43" s="231">
        <v>-75.050934080088027</v>
      </c>
      <c r="H43" s="231">
        <v>-91.468325910107296</v>
      </c>
      <c r="I43" s="231">
        <v>-103.19503436012104</v>
      </c>
      <c r="J43" s="231">
        <v>-89.122984220104556</v>
      </c>
      <c r="K43" s="231">
        <v>-96.159009290112806</v>
      </c>
      <c r="L43" s="231">
        <v>-98.504350980115561</v>
      </c>
      <c r="M43" s="231">
        <v>-105.54037605012383</v>
      </c>
      <c r="N43" s="231">
        <v>-100.8496926701183</v>
      </c>
      <c r="O43" s="232">
        <v>-1104.6559359912956</v>
      </c>
    </row>
    <row r="44" spans="1:15" x14ac:dyDescent="0.25">
      <c r="A44" s="226"/>
      <c r="B44" s="94" t="s">
        <v>51</v>
      </c>
      <c r="C44" s="95">
        <v>129.47999999999999</v>
      </c>
      <c r="D44" s="96">
        <v>136.12</v>
      </c>
      <c r="E44" s="96">
        <v>119.52</v>
      </c>
      <c r="F44" s="96">
        <v>102.92</v>
      </c>
      <c r="G44" s="96">
        <v>106.24</v>
      </c>
      <c r="H44" s="96">
        <v>129.47999999999999</v>
      </c>
      <c r="I44" s="96">
        <v>146.07999999999998</v>
      </c>
      <c r="J44" s="96">
        <v>126.16</v>
      </c>
      <c r="K44" s="96">
        <v>136.12</v>
      </c>
      <c r="L44" s="96">
        <v>139.44</v>
      </c>
      <c r="M44" s="96">
        <v>149.4</v>
      </c>
      <c r="N44" s="96">
        <v>142.76</v>
      </c>
      <c r="O44" s="97">
        <v>1563.72</v>
      </c>
    </row>
    <row r="45" spans="1:15" x14ac:dyDescent="0.25">
      <c r="A45" s="226"/>
      <c r="B45" s="94" t="s">
        <v>89</v>
      </c>
      <c r="C45" s="95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7">
        <v>0</v>
      </c>
    </row>
    <row r="46" spans="1:15" x14ac:dyDescent="0.25">
      <c r="A46" s="226"/>
      <c r="B46" s="94" t="s">
        <v>91</v>
      </c>
      <c r="C46" s="95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7">
        <v>0</v>
      </c>
    </row>
    <row r="47" spans="1:15" x14ac:dyDescent="0.25">
      <c r="A47" s="84" t="s">
        <v>8</v>
      </c>
      <c r="B47" s="84" t="s">
        <v>72</v>
      </c>
      <c r="C47" s="91">
        <v>79.85446270573371</v>
      </c>
      <c r="D47" s="92">
        <v>80.905179320282841</v>
      </c>
      <c r="E47" s="92">
        <v>89.310912236675861</v>
      </c>
      <c r="F47" s="92">
        <v>86.158762393028482</v>
      </c>
      <c r="G47" s="92">
        <v>122.93384390224796</v>
      </c>
      <c r="H47" s="92">
        <v>137.64387650593574</v>
      </c>
      <c r="I47" s="92">
        <v>154.45534233872178</v>
      </c>
      <c r="J47" s="92">
        <v>148.15104265142702</v>
      </c>
      <c r="K47" s="92">
        <v>116.62954421495319</v>
      </c>
      <c r="L47" s="92">
        <v>102.97022822581452</v>
      </c>
      <c r="M47" s="92">
        <v>77.753029476635461</v>
      </c>
      <c r="N47" s="92">
        <v>81.955895934831972</v>
      </c>
      <c r="O47" s="93">
        <v>1278.7221199062883</v>
      </c>
    </row>
    <row r="48" spans="1:15" ht="13" x14ac:dyDescent="0.3">
      <c r="A48" s="226"/>
      <c r="B48" s="94" t="s">
        <v>25</v>
      </c>
      <c r="C48" s="230">
        <v>-172.46553729426628</v>
      </c>
      <c r="D48" s="231">
        <v>-174.73482067971713</v>
      </c>
      <c r="E48" s="231">
        <v>-192.88908776332414</v>
      </c>
      <c r="F48" s="231">
        <v>-186.08123760697151</v>
      </c>
      <c r="G48" s="231">
        <v>-265.50615609775207</v>
      </c>
      <c r="H48" s="231">
        <v>-297.27612349406422</v>
      </c>
      <c r="I48" s="231">
        <v>-333.58465766127819</v>
      </c>
      <c r="J48" s="231">
        <v>-319.96895734857299</v>
      </c>
      <c r="K48" s="231">
        <v>-251.89045578504681</v>
      </c>
      <c r="L48" s="231">
        <v>-222.38977177418542</v>
      </c>
      <c r="M48" s="231">
        <v>-167.9269705233645</v>
      </c>
      <c r="N48" s="231">
        <v>-177.00410406516801</v>
      </c>
      <c r="O48" s="232">
        <v>-2761.7178800937113</v>
      </c>
    </row>
    <row r="49" spans="1:15" ht="13" x14ac:dyDescent="0.3">
      <c r="A49" s="226"/>
      <c r="B49" s="94" t="s">
        <v>26</v>
      </c>
      <c r="C49" s="230">
        <v>-5.7804311459428197</v>
      </c>
      <c r="D49" s="231">
        <v>-5.8564894504946983</v>
      </c>
      <c r="E49" s="231">
        <v>-6.4649558869097321</v>
      </c>
      <c r="F49" s="231">
        <v>-6.2367809732540955</v>
      </c>
      <c r="G49" s="231">
        <v>-8.8988216325698666</v>
      </c>
      <c r="H49" s="231">
        <v>-9.9636378962961754</v>
      </c>
      <c r="I49" s="231">
        <v>-11.180570769126243</v>
      </c>
      <c r="J49" s="231">
        <v>-10.724220941814968</v>
      </c>
      <c r="K49" s="231">
        <v>-8.4424718052585916</v>
      </c>
      <c r="L49" s="231">
        <v>-7.4537138460841614</v>
      </c>
      <c r="M49" s="231">
        <v>-5.6283145368390617</v>
      </c>
      <c r="N49" s="231">
        <v>-5.9325477550465777</v>
      </c>
      <c r="O49" s="232">
        <v>-92.56295663963698</v>
      </c>
    </row>
    <row r="50" spans="1:15" ht="13" x14ac:dyDescent="0.3">
      <c r="A50" s="226"/>
      <c r="B50" s="94" t="s">
        <v>27</v>
      </c>
      <c r="C50" s="230">
        <v>-178.24596844020911</v>
      </c>
      <c r="D50" s="231">
        <v>-180.59131013021184</v>
      </c>
      <c r="E50" s="231">
        <v>-199.35404365023388</v>
      </c>
      <c r="F50" s="231">
        <v>-192.31801858022561</v>
      </c>
      <c r="G50" s="231">
        <v>-274.40497773032195</v>
      </c>
      <c r="H50" s="231">
        <v>-307.2397613903604</v>
      </c>
      <c r="I50" s="231">
        <v>-344.76522843040442</v>
      </c>
      <c r="J50" s="231">
        <v>-330.69317829038795</v>
      </c>
      <c r="K50" s="231">
        <v>-260.33292759030542</v>
      </c>
      <c r="L50" s="231">
        <v>-229.84348562026958</v>
      </c>
      <c r="M50" s="231">
        <v>-173.55528506020357</v>
      </c>
      <c r="N50" s="231">
        <v>-182.93665182021459</v>
      </c>
      <c r="O50" s="232">
        <v>-2854.2808367333478</v>
      </c>
    </row>
    <row r="51" spans="1:15" x14ac:dyDescent="0.25">
      <c r="A51" s="226"/>
      <c r="B51" s="94" t="s">
        <v>51</v>
      </c>
      <c r="C51" s="95">
        <v>252.32</v>
      </c>
      <c r="D51" s="96">
        <v>255.64</v>
      </c>
      <c r="E51" s="96">
        <v>282.2</v>
      </c>
      <c r="F51" s="96">
        <v>272.24</v>
      </c>
      <c r="G51" s="96">
        <v>388.44</v>
      </c>
      <c r="H51" s="96">
        <v>434.91999999999996</v>
      </c>
      <c r="I51" s="96">
        <v>488.03999999999996</v>
      </c>
      <c r="J51" s="96">
        <v>468.12</v>
      </c>
      <c r="K51" s="96">
        <v>368.52</v>
      </c>
      <c r="L51" s="96">
        <v>325.35999999999996</v>
      </c>
      <c r="M51" s="96">
        <v>245.67999999999998</v>
      </c>
      <c r="N51" s="96">
        <v>258.95999999999998</v>
      </c>
      <c r="O51" s="97">
        <v>4040.44</v>
      </c>
    </row>
    <row r="52" spans="1:15" x14ac:dyDescent="0.25">
      <c r="A52" s="226"/>
      <c r="B52" s="94" t="s">
        <v>89</v>
      </c>
      <c r="C52" s="95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7">
        <v>0</v>
      </c>
    </row>
    <row r="53" spans="1:15" x14ac:dyDescent="0.25">
      <c r="A53" s="226"/>
      <c r="B53" s="94" t="s">
        <v>91</v>
      </c>
      <c r="C53" s="95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7">
        <v>0</v>
      </c>
    </row>
    <row r="54" spans="1:15" x14ac:dyDescent="0.25">
      <c r="A54" s="84" t="s">
        <v>21</v>
      </c>
      <c r="B54" s="84" t="s">
        <v>72</v>
      </c>
      <c r="C54" s="91">
        <v>2710.8488655367496</v>
      </c>
      <c r="D54" s="92">
        <v>2677.2259338711774</v>
      </c>
      <c r="E54" s="92">
        <v>2632.045119445565</v>
      </c>
      <c r="F54" s="92">
        <v>2769.6889959515011</v>
      </c>
      <c r="G54" s="92">
        <v>3058.6360649525109</v>
      </c>
      <c r="H54" s="92">
        <v>3681.7110173801439</v>
      </c>
      <c r="I54" s="92">
        <v>3912.8686725809521</v>
      </c>
      <c r="J54" s="92">
        <v>4069.4254481487719</v>
      </c>
      <c r="K54" s="92">
        <v>3518.849942125029</v>
      </c>
      <c r="L54" s="92">
        <v>2930.4486379775176</v>
      </c>
      <c r="M54" s="92">
        <v>2502.8069758560223</v>
      </c>
      <c r="N54" s="92">
        <v>2640.4508523619584</v>
      </c>
      <c r="O54" s="93">
        <v>37105.006526187906</v>
      </c>
    </row>
    <row r="55" spans="1:15" ht="13" x14ac:dyDescent="0.3">
      <c r="A55" s="226"/>
      <c r="B55" s="94" t="s">
        <v>25</v>
      </c>
      <c r="C55" s="230">
        <v>-5854.7511344632512</v>
      </c>
      <c r="D55" s="231">
        <v>-5782.1340661288214</v>
      </c>
      <c r="E55" s="231">
        <v>-5684.5548805544349</v>
      </c>
      <c r="F55" s="231">
        <v>-5981.8310040484994</v>
      </c>
      <c r="G55" s="231">
        <v>-6605.88393504749</v>
      </c>
      <c r="H55" s="231">
        <v>-7951.568982619855</v>
      </c>
      <c r="I55" s="231">
        <v>-8450.8113274190473</v>
      </c>
      <c r="J55" s="231">
        <v>-8788.9345518512273</v>
      </c>
      <c r="K55" s="231">
        <v>-7599.8300578749713</v>
      </c>
      <c r="L55" s="231">
        <v>-6329.0313620224824</v>
      </c>
      <c r="M55" s="231">
        <v>-5405.4330241439775</v>
      </c>
      <c r="N55" s="231">
        <v>-5702.709147638041</v>
      </c>
      <c r="O55" s="232">
        <v>-80137.473473812104</v>
      </c>
    </row>
    <row r="56" spans="1:15" ht="13" x14ac:dyDescent="0.3">
      <c r="A56" s="226"/>
      <c r="B56" s="94" t="s">
        <v>26</v>
      </c>
      <c r="C56" s="230">
        <v>-196.23042574384834</v>
      </c>
      <c r="D56" s="231">
        <v>-193.79655999818823</v>
      </c>
      <c r="E56" s="231">
        <v>-190.52605290245742</v>
      </c>
      <c r="F56" s="231">
        <v>-200.4896907987536</v>
      </c>
      <c r="G56" s="231">
        <v>-221.40572455052038</v>
      </c>
      <c r="H56" s="231">
        <v>-266.5082991497847</v>
      </c>
      <c r="I56" s="231">
        <v>-283.24112615119816</v>
      </c>
      <c r="J56" s="231">
        <v>-294.57381352942815</v>
      </c>
      <c r="K56" s="231">
        <v>-254.71926194424347</v>
      </c>
      <c r="L56" s="231">
        <v>-212.12661139519111</v>
      </c>
      <c r="M56" s="231">
        <v>-181.17088144257627</v>
      </c>
      <c r="N56" s="231">
        <v>-191.13451933887245</v>
      </c>
      <c r="O56" s="232">
        <v>-2685.9229669450624</v>
      </c>
    </row>
    <row r="57" spans="1:15" ht="13" x14ac:dyDescent="0.3">
      <c r="A57" s="226"/>
      <c r="B57" s="94" t="s">
        <v>27</v>
      </c>
      <c r="C57" s="230">
        <v>-6050.9815602070994</v>
      </c>
      <c r="D57" s="231">
        <v>-5975.9306261270094</v>
      </c>
      <c r="E57" s="231">
        <v>-5875.0809334568921</v>
      </c>
      <c r="F57" s="231">
        <v>-6182.3206948472525</v>
      </c>
      <c r="G57" s="231">
        <v>-6827.2896595980101</v>
      </c>
      <c r="H57" s="231">
        <v>-8218.0772817696397</v>
      </c>
      <c r="I57" s="231">
        <v>-8734.0524535702461</v>
      </c>
      <c r="J57" s="231">
        <v>-9083.508365380656</v>
      </c>
      <c r="K57" s="231">
        <v>-7854.5493198192144</v>
      </c>
      <c r="L57" s="231">
        <v>-6541.1579734176739</v>
      </c>
      <c r="M57" s="231">
        <v>-5586.603905586554</v>
      </c>
      <c r="N57" s="231">
        <v>-5893.8436669769135</v>
      </c>
      <c r="O57" s="232">
        <v>-82823.396440757162</v>
      </c>
    </row>
    <row r="58" spans="1:15" x14ac:dyDescent="0.25">
      <c r="A58" s="226"/>
      <c r="B58" s="94" t="s">
        <v>51</v>
      </c>
      <c r="C58" s="95">
        <v>8565.6</v>
      </c>
      <c r="D58" s="96">
        <v>8459.3599999999988</v>
      </c>
      <c r="E58" s="96">
        <v>8316.6</v>
      </c>
      <c r="F58" s="96">
        <v>8751.52</v>
      </c>
      <c r="G58" s="96">
        <v>9664.52</v>
      </c>
      <c r="H58" s="96">
        <v>11633.279999999999</v>
      </c>
      <c r="I58" s="96">
        <v>12363.68</v>
      </c>
      <c r="J58" s="96">
        <v>12858.359999999999</v>
      </c>
      <c r="K58" s="96">
        <v>11118.68</v>
      </c>
      <c r="L58" s="96">
        <v>9259.48</v>
      </c>
      <c r="M58" s="96">
        <v>7908.24</v>
      </c>
      <c r="N58" s="96">
        <v>8343.16</v>
      </c>
      <c r="O58" s="97">
        <v>117242.48000000001</v>
      </c>
    </row>
    <row r="59" spans="1:15" x14ac:dyDescent="0.25">
      <c r="A59" s="226"/>
      <c r="B59" s="94" t="s">
        <v>89</v>
      </c>
      <c r="C59" s="95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7">
        <v>0</v>
      </c>
    </row>
    <row r="60" spans="1:15" x14ac:dyDescent="0.25">
      <c r="A60" s="226"/>
      <c r="B60" s="94" t="s">
        <v>91</v>
      </c>
      <c r="C60" s="95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7">
        <v>0</v>
      </c>
    </row>
    <row r="61" spans="1:15" x14ac:dyDescent="0.25">
      <c r="A61" s="84" t="s">
        <v>22</v>
      </c>
      <c r="B61" s="84" t="s">
        <v>72</v>
      </c>
      <c r="C61" s="91">
        <v>2799.1090611588766</v>
      </c>
      <c r="D61" s="92">
        <v>2939.9050875084595</v>
      </c>
      <c r="E61" s="92">
        <v>2544.8356404379874</v>
      </c>
      <c r="F61" s="92">
        <v>2699.2909827767094</v>
      </c>
      <c r="G61" s="92">
        <v>2729.7617645986338</v>
      </c>
      <c r="H61" s="92">
        <v>3327.6195182770875</v>
      </c>
      <c r="I61" s="92">
        <v>3547.2192907178555</v>
      </c>
      <c r="J61" s="92">
        <v>3634.4287697254331</v>
      </c>
      <c r="K61" s="92">
        <v>3333.9238179643826</v>
      </c>
      <c r="L61" s="92">
        <v>2690.8852498603164</v>
      </c>
      <c r="M61" s="92">
        <v>2476.5390604922941</v>
      </c>
      <c r="N61" s="92">
        <v>2869.5070743336678</v>
      </c>
      <c r="O61" s="93">
        <v>35593.025317851701</v>
      </c>
    </row>
    <row r="62" spans="1:15" ht="13" x14ac:dyDescent="0.3">
      <c r="A62" s="226"/>
      <c r="B62" s="94" t="s">
        <v>25</v>
      </c>
      <c r="C62" s="230">
        <v>-6045.3709388411226</v>
      </c>
      <c r="D62" s="231">
        <v>-6349.4549124915393</v>
      </c>
      <c r="E62" s="231">
        <v>-5496.2043595620125</v>
      </c>
      <c r="F62" s="231">
        <v>-5829.789017223291</v>
      </c>
      <c r="G62" s="231">
        <v>-5895.5982354013649</v>
      </c>
      <c r="H62" s="231">
        <v>-7186.8204817229107</v>
      </c>
      <c r="I62" s="231">
        <v>-7661.1007092821437</v>
      </c>
      <c r="J62" s="231">
        <v>-7849.4512302745661</v>
      </c>
      <c r="K62" s="231">
        <v>-7200.4361820356162</v>
      </c>
      <c r="L62" s="231">
        <v>-5811.634750139684</v>
      </c>
      <c r="M62" s="231">
        <v>-5348.7009395077057</v>
      </c>
      <c r="N62" s="231">
        <v>-6197.4129256663327</v>
      </c>
      <c r="O62" s="232">
        <v>-76871.974682148284</v>
      </c>
    </row>
    <row r="63" spans="1:15" ht="13" x14ac:dyDescent="0.3">
      <c r="A63" s="226"/>
      <c r="B63" s="94" t="s">
        <v>26</v>
      </c>
      <c r="C63" s="230">
        <v>-202.61932332620623</v>
      </c>
      <c r="D63" s="231">
        <v>-212.81113613615801</v>
      </c>
      <c r="E63" s="231">
        <v>-184.21321362465144</v>
      </c>
      <c r="F63" s="231">
        <v>-195.39378439377768</v>
      </c>
      <c r="G63" s="231">
        <v>-197.59947522578216</v>
      </c>
      <c r="H63" s="231">
        <v>-240.87665051580146</v>
      </c>
      <c r="I63" s="231">
        <v>-256.77283616714419</v>
      </c>
      <c r="J63" s="231">
        <v>-263.0856754449502</v>
      </c>
      <c r="K63" s="231">
        <v>-241.33300034311273</v>
      </c>
      <c r="L63" s="231">
        <v>-194.78531795736265</v>
      </c>
      <c r="M63" s="231">
        <v>-179.26942382877931</v>
      </c>
      <c r="N63" s="231">
        <v>-207.71522973118209</v>
      </c>
      <c r="O63" s="232">
        <v>-2576.4750666949085</v>
      </c>
    </row>
    <row r="64" spans="1:15" ht="13" x14ac:dyDescent="0.3">
      <c r="A64" s="226"/>
      <c r="B64" s="94" t="s">
        <v>27</v>
      </c>
      <c r="C64" s="230">
        <v>-6247.9902621673291</v>
      </c>
      <c r="D64" s="231">
        <v>-6562.2660486276973</v>
      </c>
      <c r="E64" s="231">
        <v>-5680.4175731866644</v>
      </c>
      <c r="F64" s="231">
        <v>-6025.1828016170684</v>
      </c>
      <c r="G64" s="231">
        <v>-6093.197710627147</v>
      </c>
      <c r="H64" s="231">
        <v>-7427.6971322387126</v>
      </c>
      <c r="I64" s="231">
        <v>-7917.873545449288</v>
      </c>
      <c r="J64" s="231">
        <v>-8112.5369057195167</v>
      </c>
      <c r="K64" s="231">
        <v>-7441.7691823787291</v>
      </c>
      <c r="L64" s="231">
        <v>-6006.4200680970471</v>
      </c>
      <c r="M64" s="231">
        <v>-5527.9703633364852</v>
      </c>
      <c r="N64" s="231">
        <v>-6405.128155397515</v>
      </c>
      <c r="O64" s="232">
        <v>-79448.44974884321</v>
      </c>
    </row>
    <row r="65" spans="1:15" x14ac:dyDescent="0.25">
      <c r="A65" s="226"/>
      <c r="B65" s="94" t="s">
        <v>51</v>
      </c>
      <c r="C65" s="95">
        <v>8844.48</v>
      </c>
      <c r="D65" s="96">
        <v>9289.3599999999988</v>
      </c>
      <c r="E65" s="96">
        <v>8041.04</v>
      </c>
      <c r="F65" s="96">
        <v>8529.08</v>
      </c>
      <c r="G65" s="96">
        <v>8625.3599999999988</v>
      </c>
      <c r="H65" s="96">
        <v>10514.439999999999</v>
      </c>
      <c r="I65" s="96">
        <v>11208.32</v>
      </c>
      <c r="J65" s="96">
        <v>11483.88</v>
      </c>
      <c r="K65" s="96">
        <v>10534.359999999999</v>
      </c>
      <c r="L65" s="96">
        <v>8502.52</v>
      </c>
      <c r="M65" s="96">
        <v>7825.24</v>
      </c>
      <c r="N65" s="96">
        <v>9066.92</v>
      </c>
      <c r="O65" s="97">
        <v>112465</v>
      </c>
    </row>
    <row r="66" spans="1:15" x14ac:dyDescent="0.25">
      <c r="A66" s="226"/>
      <c r="B66" s="94" t="s">
        <v>89</v>
      </c>
      <c r="C66" s="95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7">
        <v>0</v>
      </c>
    </row>
    <row r="67" spans="1:15" x14ac:dyDescent="0.25">
      <c r="A67" s="226"/>
      <c r="B67" s="94" t="s">
        <v>91</v>
      </c>
      <c r="C67" s="95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97">
        <v>0</v>
      </c>
    </row>
    <row r="68" spans="1:15" x14ac:dyDescent="0.25">
      <c r="A68" s="84" t="s">
        <v>9</v>
      </c>
      <c r="B68" s="84" t="s">
        <v>72</v>
      </c>
      <c r="C68" s="91">
        <v>42.02866458196511</v>
      </c>
      <c r="D68" s="92">
        <v>44.130097811063365</v>
      </c>
      <c r="E68" s="92">
        <v>30.470781821924707</v>
      </c>
      <c r="F68" s="92">
        <v>33.622931665572089</v>
      </c>
      <c r="G68" s="92">
        <v>25.217198749179069</v>
      </c>
      <c r="H68" s="92">
        <v>33.622931665572089</v>
      </c>
      <c r="I68" s="92">
        <v>44.130097811063365</v>
      </c>
      <c r="J68" s="92">
        <v>40.977947967415986</v>
      </c>
      <c r="K68" s="92">
        <v>37.8257981237686</v>
      </c>
      <c r="L68" s="92">
        <v>35.724364894670344</v>
      </c>
      <c r="M68" s="92">
        <v>38.876514738317731</v>
      </c>
      <c r="N68" s="92">
        <v>43.079381196514241</v>
      </c>
      <c r="O68" s="93">
        <v>449.70671102702664</v>
      </c>
    </row>
    <row r="69" spans="1:15" ht="13" x14ac:dyDescent="0.3">
      <c r="A69" s="226"/>
      <c r="B69" s="94" t="s">
        <v>25</v>
      </c>
      <c r="C69" s="230">
        <v>-90.77133541803488</v>
      </c>
      <c r="D69" s="231">
        <v>-95.309902188936633</v>
      </c>
      <c r="E69" s="231">
        <v>-65.809218178075298</v>
      </c>
      <c r="F69" s="231">
        <v>-72.617068334427898</v>
      </c>
      <c r="G69" s="231">
        <v>-54.462801250820924</v>
      </c>
      <c r="H69" s="231">
        <v>-72.617068334427898</v>
      </c>
      <c r="I69" s="231">
        <v>-95.309902188936633</v>
      </c>
      <c r="J69" s="231">
        <v>-88.502052032584004</v>
      </c>
      <c r="K69" s="231">
        <v>-81.694201876231404</v>
      </c>
      <c r="L69" s="231">
        <v>-77.155635105329651</v>
      </c>
      <c r="M69" s="231">
        <v>-83.963485261682251</v>
      </c>
      <c r="N69" s="231">
        <v>-93.040618803485756</v>
      </c>
      <c r="O69" s="232">
        <v>-971.25328897297345</v>
      </c>
    </row>
    <row r="70" spans="1:15" ht="13" x14ac:dyDescent="0.3">
      <c r="A70" s="226"/>
      <c r="B70" s="94" t="s">
        <v>26</v>
      </c>
      <c r="C70" s="230">
        <v>-3.0423321820751683</v>
      </c>
      <c r="D70" s="231">
        <v>-3.1944487911789263</v>
      </c>
      <c r="E70" s="231">
        <v>-2.205690832004497</v>
      </c>
      <c r="F70" s="231">
        <v>-2.4338657456601345</v>
      </c>
      <c r="G70" s="231">
        <v>-1.8253993092451009</v>
      </c>
      <c r="H70" s="231">
        <v>-2.4338657456601345</v>
      </c>
      <c r="I70" s="231">
        <v>-3.1944487911789263</v>
      </c>
      <c r="J70" s="231">
        <v>-2.9662738775232889</v>
      </c>
      <c r="K70" s="231">
        <v>-2.7380989638676514</v>
      </c>
      <c r="L70" s="231">
        <v>-2.5859823547638929</v>
      </c>
      <c r="M70" s="231">
        <v>-2.8141572684195308</v>
      </c>
      <c r="N70" s="231">
        <v>-3.1183904866270478</v>
      </c>
      <c r="O70" s="232">
        <v>-32.552954348204302</v>
      </c>
    </row>
    <row r="71" spans="1:15" ht="13" x14ac:dyDescent="0.3">
      <c r="A71" s="226"/>
      <c r="B71" s="94" t="s">
        <v>27</v>
      </c>
      <c r="C71" s="230">
        <v>-93.813667600110051</v>
      </c>
      <c r="D71" s="231">
        <v>-98.504350980115561</v>
      </c>
      <c r="E71" s="231">
        <v>-68.014909010079791</v>
      </c>
      <c r="F71" s="231">
        <v>-75.050934080088027</v>
      </c>
      <c r="G71" s="231">
        <v>-56.288200560066024</v>
      </c>
      <c r="H71" s="231">
        <v>-75.050934080088027</v>
      </c>
      <c r="I71" s="231">
        <v>-98.504350980115561</v>
      </c>
      <c r="J71" s="231">
        <v>-91.468325910107296</v>
      </c>
      <c r="K71" s="231">
        <v>-84.43230084009906</v>
      </c>
      <c r="L71" s="231">
        <v>-79.741617460093551</v>
      </c>
      <c r="M71" s="231">
        <v>-86.777642530101787</v>
      </c>
      <c r="N71" s="231">
        <v>-96.159009290112806</v>
      </c>
      <c r="O71" s="232">
        <v>-1003.8062433211776</v>
      </c>
    </row>
    <row r="72" spans="1:15" x14ac:dyDescent="0.25">
      <c r="A72" s="226"/>
      <c r="B72" s="94" t="s">
        <v>51</v>
      </c>
      <c r="C72" s="95">
        <v>132.79999999999998</v>
      </c>
      <c r="D72" s="96">
        <v>139.44</v>
      </c>
      <c r="E72" s="96">
        <v>96.28</v>
      </c>
      <c r="F72" s="96">
        <v>106.24</v>
      </c>
      <c r="G72" s="96">
        <v>79.679999999999993</v>
      </c>
      <c r="H72" s="96">
        <v>106.24</v>
      </c>
      <c r="I72" s="96">
        <v>139.44</v>
      </c>
      <c r="J72" s="96">
        <v>129.47999999999999</v>
      </c>
      <c r="K72" s="96">
        <v>119.52</v>
      </c>
      <c r="L72" s="96">
        <v>112.88</v>
      </c>
      <c r="M72" s="96">
        <v>122.83999999999999</v>
      </c>
      <c r="N72" s="96">
        <v>136.12</v>
      </c>
      <c r="O72" s="97">
        <v>1420.96</v>
      </c>
    </row>
    <row r="73" spans="1:15" x14ac:dyDescent="0.25">
      <c r="A73" s="226"/>
      <c r="B73" s="94" t="s">
        <v>89</v>
      </c>
      <c r="C73" s="95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7">
        <v>0</v>
      </c>
    </row>
    <row r="74" spans="1:15" x14ac:dyDescent="0.25">
      <c r="A74" s="226"/>
      <c r="B74" s="94" t="s">
        <v>91</v>
      </c>
      <c r="C74" s="95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7">
        <v>0</v>
      </c>
    </row>
    <row r="75" spans="1:15" x14ac:dyDescent="0.25">
      <c r="A75" s="84" t="s">
        <v>56</v>
      </c>
      <c r="B75" s="84" t="s">
        <v>72</v>
      </c>
      <c r="C75" s="91">
        <v>114.52811098585492</v>
      </c>
      <c r="D75" s="92">
        <v>109.2745279131093</v>
      </c>
      <c r="E75" s="92">
        <v>91.412345465774123</v>
      </c>
      <c r="F75" s="92">
        <v>107.17309468401103</v>
      </c>
      <c r="G75" s="92">
        <v>96.665928538519751</v>
      </c>
      <c r="H75" s="92">
        <v>150.25247588052528</v>
      </c>
      <c r="I75" s="92">
        <v>144.99889280777964</v>
      </c>
      <c r="J75" s="92">
        <v>159.70892541146742</v>
      </c>
      <c r="K75" s="92">
        <v>142.89745957868138</v>
      </c>
      <c r="L75" s="92">
        <v>112.42667775675667</v>
      </c>
      <c r="M75" s="92">
        <v>99.818078382167144</v>
      </c>
      <c r="N75" s="92">
        <v>104.02094484036365</v>
      </c>
      <c r="O75" s="93">
        <v>1433.1774622450102</v>
      </c>
    </row>
    <row r="76" spans="1:15" x14ac:dyDescent="0.25">
      <c r="A76" s="226"/>
      <c r="B76" s="94" t="s">
        <v>25</v>
      </c>
      <c r="C76" s="95">
        <v>-247.35188901414506</v>
      </c>
      <c r="D76" s="96">
        <v>-236.00547208689068</v>
      </c>
      <c r="E76" s="96">
        <v>-197.42765453422584</v>
      </c>
      <c r="F76" s="96">
        <v>-231.46690531598895</v>
      </c>
      <c r="G76" s="96">
        <v>-208.77407146148025</v>
      </c>
      <c r="H76" s="96">
        <v>-324.50752411947474</v>
      </c>
      <c r="I76" s="96">
        <v>-313.16110719222036</v>
      </c>
      <c r="J76" s="96">
        <v>-344.93107458853257</v>
      </c>
      <c r="K76" s="96">
        <v>-308.6225404213186</v>
      </c>
      <c r="L76" s="96">
        <v>-242.81332224324333</v>
      </c>
      <c r="M76" s="96">
        <v>-215.58192161783285</v>
      </c>
      <c r="N76" s="96">
        <v>-224.65905515963635</v>
      </c>
      <c r="O76" s="97">
        <v>-3095.3025377549898</v>
      </c>
    </row>
    <row r="77" spans="1:15" x14ac:dyDescent="0.25">
      <c r="A77" s="226"/>
      <c r="B77" s="94" t="s">
        <v>26</v>
      </c>
      <c r="C77" s="95">
        <v>-8.2903551961548327</v>
      </c>
      <c r="D77" s="96">
        <v>-7.9100636733954373</v>
      </c>
      <c r="E77" s="96">
        <v>-6.617072496013491</v>
      </c>
      <c r="F77" s="96">
        <v>-7.7579470642916792</v>
      </c>
      <c r="G77" s="96">
        <v>-6.9973640187728865</v>
      </c>
      <c r="H77" s="96">
        <v>-10.876337550918727</v>
      </c>
      <c r="I77" s="96">
        <v>-10.496046028159329</v>
      </c>
      <c r="J77" s="96">
        <v>-11.560862291885639</v>
      </c>
      <c r="K77" s="96">
        <v>-10.343929419055572</v>
      </c>
      <c r="L77" s="96">
        <v>-8.1382385870510756</v>
      </c>
      <c r="M77" s="96">
        <v>-7.225538932428524</v>
      </c>
      <c r="N77" s="96">
        <v>-7.5297721506360409</v>
      </c>
      <c r="O77" s="97">
        <v>-103.74352740876321</v>
      </c>
    </row>
    <row r="78" spans="1:15" x14ac:dyDescent="0.25">
      <c r="A78" s="226"/>
      <c r="B78" s="94" t="s">
        <v>27</v>
      </c>
      <c r="C78" s="95">
        <v>-255.64224421029988</v>
      </c>
      <c r="D78" s="96">
        <v>-243.9155357602861</v>
      </c>
      <c r="E78" s="96">
        <v>-204.04472703023933</v>
      </c>
      <c r="F78" s="96">
        <v>-239.22485238028062</v>
      </c>
      <c r="G78" s="96">
        <v>-215.77143548025313</v>
      </c>
      <c r="H78" s="96">
        <v>-335.38386167039346</v>
      </c>
      <c r="I78" s="96">
        <v>-323.65715322037971</v>
      </c>
      <c r="J78" s="96">
        <v>-356.49193688041822</v>
      </c>
      <c r="K78" s="96">
        <v>-318.9664698403742</v>
      </c>
      <c r="L78" s="96">
        <v>-250.9515608302944</v>
      </c>
      <c r="M78" s="96">
        <v>-222.80746055026137</v>
      </c>
      <c r="N78" s="96">
        <v>-232.18882731027239</v>
      </c>
      <c r="O78" s="97">
        <v>-3199.0460651637532</v>
      </c>
    </row>
    <row r="79" spans="1:15" x14ac:dyDescent="0.25">
      <c r="A79" s="226"/>
      <c r="B79" s="94" t="s">
        <v>51</v>
      </c>
      <c r="C79" s="95">
        <v>361.88</v>
      </c>
      <c r="D79" s="96">
        <v>345.28</v>
      </c>
      <c r="E79" s="96">
        <v>288.83999999999997</v>
      </c>
      <c r="F79" s="96">
        <v>338.64</v>
      </c>
      <c r="G79" s="96">
        <v>305.44</v>
      </c>
      <c r="H79" s="96">
        <v>474.76</v>
      </c>
      <c r="I79" s="96">
        <v>458.15999999999997</v>
      </c>
      <c r="J79" s="96">
        <v>504.64</v>
      </c>
      <c r="K79" s="96">
        <v>451.52</v>
      </c>
      <c r="L79" s="96">
        <v>355.24</v>
      </c>
      <c r="M79" s="96">
        <v>315.39999999999998</v>
      </c>
      <c r="N79" s="96">
        <v>328.68</v>
      </c>
      <c r="O79" s="97">
        <v>4528.4799999999996</v>
      </c>
    </row>
    <row r="80" spans="1:15" x14ac:dyDescent="0.25">
      <c r="A80" s="226"/>
      <c r="B80" s="94" t="s">
        <v>89</v>
      </c>
      <c r="C80" s="95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7">
        <v>0</v>
      </c>
    </row>
    <row r="81" spans="1:15" x14ac:dyDescent="0.25">
      <c r="A81" s="226"/>
      <c r="B81" s="94" t="s">
        <v>91</v>
      </c>
      <c r="C81" s="95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97">
        <v>0</v>
      </c>
    </row>
    <row r="82" spans="1:15" x14ac:dyDescent="0.25">
      <c r="A82" s="84" t="s">
        <v>57</v>
      </c>
      <c r="B82" s="84" t="s">
        <v>72</v>
      </c>
      <c r="C82" s="91">
        <v>11.557882760040405</v>
      </c>
      <c r="D82" s="92">
        <v>10.507166145491277</v>
      </c>
      <c r="E82" s="92">
        <v>10.507166145491277</v>
      </c>
      <c r="F82" s="92">
        <v>7.3550163018438948</v>
      </c>
      <c r="G82" s="92">
        <v>13.659315989138662</v>
      </c>
      <c r="H82" s="92">
        <v>12.608599374589534</v>
      </c>
      <c r="I82" s="92">
        <v>15.760749218236917</v>
      </c>
      <c r="J82" s="92">
        <v>12.608599374589534</v>
      </c>
      <c r="K82" s="92">
        <v>14.71003260368779</v>
      </c>
      <c r="L82" s="92">
        <v>11.557882760040405</v>
      </c>
      <c r="M82" s="92">
        <v>9.4564495309421499</v>
      </c>
      <c r="N82" s="92">
        <v>8.4057329163930223</v>
      </c>
      <c r="O82" s="93">
        <v>138.69459312048485</v>
      </c>
    </row>
    <row r="83" spans="1:15" x14ac:dyDescent="0.25">
      <c r="A83" s="226"/>
      <c r="B83" s="94" t="s">
        <v>25</v>
      </c>
      <c r="C83" s="95">
        <v>-24.962117239959589</v>
      </c>
      <c r="D83" s="96">
        <v>-22.69283385450872</v>
      </c>
      <c r="E83" s="96">
        <v>-22.69283385450872</v>
      </c>
      <c r="F83" s="96">
        <v>-15.884983698156104</v>
      </c>
      <c r="G83" s="96">
        <v>-29.500684010861335</v>
      </c>
      <c r="H83" s="96">
        <v>-27.231400625410462</v>
      </c>
      <c r="I83" s="96">
        <v>-34.03925078176308</v>
      </c>
      <c r="J83" s="96">
        <v>-27.231400625410462</v>
      </c>
      <c r="K83" s="96">
        <v>-31.769967396312207</v>
      </c>
      <c r="L83" s="96">
        <v>-24.962117239959589</v>
      </c>
      <c r="M83" s="96">
        <v>-20.423550469057851</v>
      </c>
      <c r="N83" s="96">
        <v>-18.154267083606975</v>
      </c>
      <c r="O83" s="97">
        <v>-299.54540687951504</v>
      </c>
    </row>
    <row r="84" spans="1:15" x14ac:dyDescent="0.25">
      <c r="A84" s="226"/>
      <c r="B84" s="94" t="s">
        <v>26</v>
      </c>
      <c r="C84" s="95">
        <v>-0.83664135007067131</v>
      </c>
      <c r="D84" s="96">
        <v>-0.76058304551879208</v>
      </c>
      <c r="E84" s="96">
        <v>-0.76058304551879208</v>
      </c>
      <c r="F84" s="96">
        <v>-0.53240813186315439</v>
      </c>
      <c r="G84" s="96">
        <v>-0.98875795917442966</v>
      </c>
      <c r="H84" s="96">
        <v>-0.91269965462255043</v>
      </c>
      <c r="I84" s="96">
        <v>-1.1408745682781882</v>
      </c>
      <c r="J84" s="96">
        <v>-0.91269965462255043</v>
      </c>
      <c r="K84" s="96">
        <v>-1.0648162637263088</v>
      </c>
      <c r="L84" s="96">
        <v>-0.83664135007067131</v>
      </c>
      <c r="M84" s="96">
        <v>-0.68452474096691285</v>
      </c>
      <c r="N84" s="96">
        <v>-0.60846643641503362</v>
      </c>
      <c r="O84" s="97">
        <v>-10.039696200848056</v>
      </c>
    </row>
    <row r="85" spans="1:15" x14ac:dyDescent="0.25">
      <c r="A85" s="226"/>
      <c r="B85" s="94" t="s">
        <v>27</v>
      </c>
      <c r="C85" s="95">
        <v>-25.798758590030261</v>
      </c>
      <c r="D85" s="96">
        <v>-23.453416900027513</v>
      </c>
      <c r="E85" s="96">
        <v>-23.453416900027513</v>
      </c>
      <c r="F85" s="96">
        <v>-16.417391830019259</v>
      </c>
      <c r="G85" s="96">
        <v>-30.489441970035763</v>
      </c>
      <c r="H85" s="96">
        <v>-28.144100280033012</v>
      </c>
      <c r="I85" s="96">
        <v>-35.180125350041266</v>
      </c>
      <c r="J85" s="96">
        <v>-28.144100280033012</v>
      </c>
      <c r="K85" s="96">
        <v>-32.834783660038518</v>
      </c>
      <c r="L85" s="96">
        <v>-25.798758590030261</v>
      </c>
      <c r="M85" s="96">
        <v>-21.108075210024765</v>
      </c>
      <c r="N85" s="96">
        <v>-18.762733520022007</v>
      </c>
      <c r="O85" s="97">
        <v>-309.58510308036307</v>
      </c>
    </row>
    <row r="86" spans="1:15" x14ac:dyDescent="0.25">
      <c r="A86" s="226"/>
      <c r="B86" s="94" t="s">
        <v>51</v>
      </c>
      <c r="C86" s="95">
        <v>36.519999999999996</v>
      </c>
      <c r="D86" s="96">
        <v>33.199999999999996</v>
      </c>
      <c r="E86" s="96">
        <v>33.199999999999996</v>
      </c>
      <c r="F86" s="96">
        <v>23.24</v>
      </c>
      <c r="G86" s="96">
        <v>43.16</v>
      </c>
      <c r="H86" s="96">
        <v>39.839999999999996</v>
      </c>
      <c r="I86" s="96">
        <v>49.8</v>
      </c>
      <c r="J86" s="96">
        <v>39.839999999999996</v>
      </c>
      <c r="K86" s="96">
        <v>46.48</v>
      </c>
      <c r="L86" s="96">
        <v>36.519999999999996</v>
      </c>
      <c r="M86" s="96">
        <v>29.88</v>
      </c>
      <c r="N86" s="96">
        <v>26.56</v>
      </c>
      <c r="O86" s="97">
        <v>438.23999999999995</v>
      </c>
    </row>
    <row r="87" spans="1:15" x14ac:dyDescent="0.25">
      <c r="A87" s="226"/>
      <c r="B87" s="94" t="s">
        <v>89</v>
      </c>
      <c r="C87" s="95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97">
        <v>0</v>
      </c>
    </row>
    <row r="88" spans="1:15" x14ac:dyDescent="0.25">
      <c r="A88" s="226"/>
      <c r="B88" s="94" t="s">
        <v>91</v>
      </c>
      <c r="C88" s="95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97">
        <v>0</v>
      </c>
    </row>
    <row r="89" spans="1:15" x14ac:dyDescent="0.25">
      <c r="A89" s="84" t="s">
        <v>58</v>
      </c>
      <c r="B89" s="84" t="s">
        <v>72</v>
      </c>
      <c r="C89" s="91">
        <v>21.014332290982555</v>
      </c>
      <c r="D89" s="92">
        <v>19.963615676433427</v>
      </c>
      <c r="E89" s="92">
        <v>19.963615676433427</v>
      </c>
      <c r="F89" s="92">
        <v>22.065048905531683</v>
      </c>
      <c r="G89" s="92">
        <v>24.166482134629938</v>
      </c>
      <c r="H89" s="92">
        <v>30.470781821924707</v>
      </c>
      <c r="I89" s="92">
        <v>34.67364828012122</v>
      </c>
      <c r="J89" s="92">
        <v>35.724364894670344</v>
      </c>
      <c r="K89" s="92">
        <v>31.521498436473834</v>
      </c>
      <c r="L89" s="92">
        <v>22.065048905531683</v>
      </c>
      <c r="M89" s="92">
        <v>16.811465832786045</v>
      </c>
      <c r="N89" s="92">
        <v>19.963615676433427</v>
      </c>
      <c r="O89" s="93">
        <v>298.40351853195233</v>
      </c>
    </row>
    <row r="90" spans="1:15" x14ac:dyDescent="0.25">
      <c r="A90" s="226"/>
      <c r="B90" s="94" t="s">
        <v>25</v>
      </c>
      <c r="C90" s="95">
        <v>-45.38566770901744</v>
      </c>
      <c r="D90" s="96">
        <v>-43.116384323566571</v>
      </c>
      <c r="E90" s="96">
        <v>-43.116384323566571</v>
      </c>
      <c r="F90" s="96">
        <v>-47.654951094468316</v>
      </c>
      <c r="G90" s="96">
        <v>-52.193517865370062</v>
      </c>
      <c r="H90" s="96">
        <v>-65.809218178075298</v>
      </c>
      <c r="I90" s="96">
        <v>-74.886351719878775</v>
      </c>
      <c r="J90" s="96">
        <v>-77.155635105329651</v>
      </c>
      <c r="K90" s="96">
        <v>-68.07850156352616</v>
      </c>
      <c r="L90" s="96">
        <v>-47.654951094468316</v>
      </c>
      <c r="M90" s="96">
        <v>-36.308534167213949</v>
      </c>
      <c r="N90" s="96">
        <v>-43.116384323566571</v>
      </c>
      <c r="O90" s="97">
        <v>-644.47648146804761</v>
      </c>
    </row>
    <row r="91" spans="1:15" x14ac:dyDescent="0.25">
      <c r="A91" s="226"/>
      <c r="B91" s="94" t="s">
        <v>26</v>
      </c>
      <c r="C91" s="95">
        <v>-1.5211660910375842</v>
      </c>
      <c r="D91" s="96">
        <v>-1.4451077864857049</v>
      </c>
      <c r="E91" s="96">
        <v>-1.4451077864857049</v>
      </c>
      <c r="F91" s="96">
        <v>-1.5972243955894632</v>
      </c>
      <c r="G91" s="96">
        <v>-1.7493410046932216</v>
      </c>
      <c r="H91" s="96">
        <v>-2.205690832004497</v>
      </c>
      <c r="I91" s="96">
        <v>-2.5099240502120139</v>
      </c>
      <c r="J91" s="96">
        <v>-2.5859823547638929</v>
      </c>
      <c r="K91" s="96">
        <v>-2.2817491365563765</v>
      </c>
      <c r="L91" s="96">
        <v>-1.5972243955894632</v>
      </c>
      <c r="M91" s="96">
        <v>-1.2169328728300672</v>
      </c>
      <c r="N91" s="96">
        <v>-1.4451077864857049</v>
      </c>
      <c r="O91" s="97">
        <v>-21.600558492733697</v>
      </c>
    </row>
    <row r="92" spans="1:15" x14ac:dyDescent="0.25">
      <c r="A92" s="226"/>
      <c r="B92" s="94" t="s">
        <v>27</v>
      </c>
      <c r="C92" s="95">
        <v>-46.906833800055026</v>
      </c>
      <c r="D92" s="96">
        <v>-44.561492110052278</v>
      </c>
      <c r="E92" s="96">
        <v>-44.561492110052278</v>
      </c>
      <c r="F92" s="96">
        <v>-49.25217549005778</v>
      </c>
      <c r="G92" s="96">
        <v>-53.942858870063283</v>
      </c>
      <c r="H92" s="96">
        <v>-68.014909010079791</v>
      </c>
      <c r="I92" s="96">
        <v>-77.396275770090796</v>
      </c>
      <c r="J92" s="96">
        <v>-79.741617460093551</v>
      </c>
      <c r="K92" s="96">
        <v>-70.360250700082531</v>
      </c>
      <c r="L92" s="96">
        <v>-49.25217549005778</v>
      </c>
      <c r="M92" s="96">
        <v>-37.525467040044013</v>
      </c>
      <c r="N92" s="96">
        <v>-44.561492110052278</v>
      </c>
      <c r="O92" s="97">
        <v>-666.07703996078135</v>
      </c>
    </row>
    <row r="93" spans="1:15" x14ac:dyDescent="0.25">
      <c r="A93" s="226"/>
      <c r="B93" s="94" t="s">
        <v>51</v>
      </c>
      <c r="C93" s="95">
        <v>66.399999999999991</v>
      </c>
      <c r="D93" s="96">
        <v>63.08</v>
      </c>
      <c r="E93" s="96">
        <v>63.08</v>
      </c>
      <c r="F93" s="96">
        <v>69.72</v>
      </c>
      <c r="G93" s="96">
        <v>76.36</v>
      </c>
      <c r="H93" s="96">
        <v>96.28</v>
      </c>
      <c r="I93" s="96">
        <v>109.55999999999999</v>
      </c>
      <c r="J93" s="96">
        <v>112.88</v>
      </c>
      <c r="K93" s="96">
        <v>99.6</v>
      </c>
      <c r="L93" s="96">
        <v>69.72</v>
      </c>
      <c r="M93" s="96">
        <v>53.12</v>
      </c>
      <c r="N93" s="96">
        <v>63.08</v>
      </c>
      <c r="O93" s="97">
        <v>942.88</v>
      </c>
    </row>
    <row r="94" spans="1:15" x14ac:dyDescent="0.25">
      <c r="A94" s="226"/>
      <c r="B94" s="94" t="s">
        <v>89</v>
      </c>
      <c r="C94" s="95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97">
        <v>0</v>
      </c>
    </row>
    <row r="95" spans="1:15" x14ac:dyDescent="0.25">
      <c r="A95" s="226"/>
      <c r="B95" s="94" t="s">
        <v>91</v>
      </c>
      <c r="C95" s="95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97">
        <v>0</v>
      </c>
    </row>
    <row r="96" spans="1:15" x14ac:dyDescent="0.25">
      <c r="A96" s="84" t="s">
        <v>59</v>
      </c>
      <c r="B96" s="84" t="s">
        <v>72</v>
      </c>
      <c r="C96" s="91">
        <v>36.775081509219476</v>
      </c>
      <c r="D96" s="92">
        <v>35.724364894670344</v>
      </c>
      <c r="E96" s="92">
        <v>31.521498436473834</v>
      </c>
      <c r="F96" s="92">
        <v>33.622931665572089</v>
      </c>
      <c r="G96" s="92">
        <v>37.8257981237686</v>
      </c>
      <c r="H96" s="92">
        <v>44.130097811063365</v>
      </c>
      <c r="I96" s="92">
        <v>49.383680883809006</v>
      </c>
      <c r="J96" s="92">
        <v>50.434397498358138</v>
      </c>
      <c r="K96" s="92">
        <v>46.23153104016162</v>
      </c>
      <c r="L96" s="92">
        <v>31.521498436473834</v>
      </c>
      <c r="M96" s="92">
        <v>32.572215051022958</v>
      </c>
      <c r="N96" s="92">
        <v>35.724364894670344</v>
      </c>
      <c r="O96" s="93">
        <v>465.46746024526362</v>
      </c>
    </row>
    <row r="97" spans="1:15" x14ac:dyDescent="0.25">
      <c r="A97" s="226"/>
      <c r="B97" s="94" t="s">
        <v>25</v>
      </c>
      <c r="C97" s="95">
        <v>-79.424918490780513</v>
      </c>
      <c r="D97" s="96">
        <v>-77.155635105329651</v>
      </c>
      <c r="E97" s="96">
        <v>-68.07850156352616</v>
      </c>
      <c r="F97" s="96">
        <v>-72.617068334427898</v>
      </c>
      <c r="G97" s="96">
        <v>-81.694201876231404</v>
      </c>
      <c r="H97" s="96">
        <v>-95.309902188936633</v>
      </c>
      <c r="I97" s="96">
        <v>-106.65631911619099</v>
      </c>
      <c r="J97" s="96">
        <v>-108.92560250164185</v>
      </c>
      <c r="K97" s="96">
        <v>-99.848468959838357</v>
      </c>
      <c r="L97" s="96">
        <v>-68.07850156352616</v>
      </c>
      <c r="M97" s="96">
        <v>-70.347784948977051</v>
      </c>
      <c r="N97" s="96">
        <v>-77.155635105329651</v>
      </c>
      <c r="O97" s="97">
        <v>-1005.2925397547364</v>
      </c>
    </row>
    <row r="98" spans="1:15" x14ac:dyDescent="0.25">
      <c r="A98" s="226"/>
      <c r="B98" s="94" t="s">
        <v>26</v>
      </c>
      <c r="C98" s="95">
        <v>-2.6620406593157719</v>
      </c>
      <c r="D98" s="96">
        <v>-2.5859823547638929</v>
      </c>
      <c r="E98" s="96">
        <v>-2.2817491365563765</v>
      </c>
      <c r="F98" s="96">
        <v>-2.4338657456601345</v>
      </c>
      <c r="G98" s="96">
        <v>-2.7380989638676514</v>
      </c>
      <c r="H98" s="96">
        <v>-3.1944487911789263</v>
      </c>
      <c r="I98" s="96">
        <v>-3.5747403139383231</v>
      </c>
      <c r="J98" s="96">
        <v>-3.6507986184902017</v>
      </c>
      <c r="K98" s="96">
        <v>-3.3465654002826852</v>
      </c>
      <c r="L98" s="96">
        <v>-2.2817491365563765</v>
      </c>
      <c r="M98" s="96">
        <v>-2.357807441108255</v>
      </c>
      <c r="N98" s="96">
        <v>-2.5859823547638929</v>
      </c>
      <c r="O98" s="97">
        <v>-33.693828916482495</v>
      </c>
    </row>
    <row r="99" spans="1:15" x14ac:dyDescent="0.25">
      <c r="A99" s="226"/>
      <c r="B99" s="94" t="s">
        <v>27</v>
      </c>
      <c r="C99" s="95">
        <v>-82.086959150096291</v>
      </c>
      <c r="D99" s="96">
        <v>-79.741617460093551</v>
      </c>
      <c r="E99" s="96">
        <v>-70.360250700082531</v>
      </c>
      <c r="F99" s="96">
        <v>-75.050934080088027</v>
      </c>
      <c r="G99" s="96">
        <v>-84.43230084009906</v>
      </c>
      <c r="H99" s="96">
        <v>-98.504350980115561</v>
      </c>
      <c r="I99" s="96">
        <v>-110.23105943012931</v>
      </c>
      <c r="J99" s="96">
        <v>-112.57640112013205</v>
      </c>
      <c r="K99" s="96">
        <v>-103.19503436012104</v>
      </c>
      <c r="L99" s="96">
        <v>-70.360250700082531</v>
      </c>
      <c r="M99" s="96">
        <v>-72.7055923900853</v>
      </c>
      <c r="N99" s="96">
        <v>-79.741617460093551</v>
      </c>
      <c r="O99" s="97">
        <v>-1038.9863686712188</v>
      </c>
    </row>
    <row r="100" spans="1:15" x14ac:dyDescent="0.25">
      <c r="A100" s="226"/>
      <c r="B100" s="94" t="s">
        <v>51</v>
      </c>
      <c r="C100" s="95">
        <v>116.19999999999999</v>
      </c>
      <c r="D100" s="96">
        <v>112.88</v>
      </c>
      <c r="E100" s="96">
        <v>99.6</v>
      </c>
      <c r="F100" s="96">
        <v>106.24</v>
      </c>
      <c r="G100" s="96">
        <v>119.52</v>
      </c>
      <c r="H100" s="96">
        <v>139.44</v>
      </c>
      <c r="I100" s="96">
        <v>156.04</v>
      </c>
      <c r="J100" s="96">
        <v>159.35999999999999</v>
      </c>
      <c r="K100" s="96">
        <v>146.07999999999998</v>
      </c>
      <c r="L100" s="96">
        <v>99.6</v>
      </c>
      <c r="M100" s="96">
        <v>102.92</v>
      </c>
      <c r="N100" s="96">
        <v>112.88</v>
      </c>
      <c r="O100" s="97">
        <v>1470.7599999999998</v>
      </c>
    </row>
    <row r="101" spans="1:15" x14ac:dyDescent="0.25">
      <c r="A101" s="226"/>
      <c r="B101" s="94" t="s">
        <v>89</v>
      </c>
      <c r="C101" s="95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97">
        <v>0</v>
      </c>
    </row>
    <row r="102" spans="1:15" x14ac:dyDescent="0.25">
      <c r="A102" s="226"/>
      <c r="B102" s="94" t="s">
        <v>91</v>
      </c>
      <c r="C102" s="95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7">
        <v>0</v>
      </c>
    </row>
    <row r="103" spans="1:15" x14ac:dyDescent="0.25">
      <c r="A103" s="84" t="s">
        <v>83</v>
      </c>
      <c r="B103" s="84" t="s">
        <v>72</v>
      </c>
      <c r="C103" s="91">
        <v>152.35390910962354</v>
      </c>
      <c r="D103" s="92">
        <v>153.40462572417266</v>
      </c>
      <c r="E103" s="92">
        <v>101.91951161126539</v>
      </c>
      <c r="F103" s="92">
        <v>98.767361767618013</v>
      </c>
      <c r="G103" s="92">
        <v>111.37596114220754</v>
      </c>
      <c r="H103" s="92">
        <v>138.69459312048488</v>
      </c>
      <c r="I103" s="92">
        <v>146.04960942232876</v>
      </c>
      <c r="J103" s="92">
        <v>142.89745957868138</v>
      </c>
      <c r="K103" s="92">
        <v>121.88312728769883</v>
      </c>
      <c r="L103" s="92">
        <v>81.955895934831972</v>
      </c>
      <c r="M103" s="92">
        <v>114.52811098585492</v>
      </c>
      <c r="N103" s="92">
        <v>150.25247588052528</v>
      </c>
      <c r="O103" s="93">
        <v>1514.0826415652932</v>
      </c>
    </row>
    <row r="104" spans="1:15" x14ac:dyDescent="0.25">
      <c r="A104" s="226"/>
      <c r="B104" s="94" t="s">
        <v>25</v>
      </c>
      <c r="C104" s="95">
        <v>-329.04609089037643</v>
      </c>
      <c r="D104" s="96">
        <v>-331.31537427582731</v>
      </c>
      <c r="E104" s="96">
        <v>-220.12048838873457</v>
      </c>
      <c r="F104" s="96">
        <v>-213.31263823238197</v>
      </c>
      <c r="G104" s="96">
        <v>-240.54403885779243</v>
      </c>
      <c r="H104" s="96">
        <v>-299.5454068795151</v>
      </c>
      <c r="I104" s="96">
        <v>-315.43039057767123</v>
      </c>
      <c r="J104" s="96">
        <v>-308.6225404213186</v>
      </c>
      <c r="K104" s="96">
        <v>-263.23687271230119</v>
      </c>
      <c r="L104" s="96">
        <v>-177.00410406516801</v>
      </c>
      <c r="M104" s="96">
        <v>-247.35188901414506</v>
      </c>
      <c r="N104" s="96">
        <v>-324.50752411947474</v>
      </c>
      <c r="O104" s="97">
        <v>-3270.0373584347062</v>
      </c>
    </row>
    <row r="105" spans="1:15" x14ac:dyDescent="0.25">
      <c r="A105" s="226"/>
      <c r="B105" s="94" t="s">
        <v>26</v>
      </c>
      <c r="C105" s="95">
        <v>-11.028454160022484</v>
      </c>
      <c r="D105" s="96">
        <v>-11.104512464574364</v>
      </c>
      <c r="E105" s="96">
        <v>-7.3776555415322829</v>
      </c>
      <c r="F105" s="96">
        <v>-7.1494806278766463</v>
      </c>
      <c r="G105" s="96">
        <v>-8.062180282499197</v>
      </c>
      <c r="H105" s="96">
        <v>-10.039696200848056</v>
      </c>
      <c r="I105" s="96">
        <v>-10.572104332711209</v>
      </c>
      <c r="J105" s="96">
        <v>-10.343929419055572</v>
      </c>
      <c r="K105" s="96">
        <v>-8.822763328017988</v>
      </c>
      <c r="L105" s="96">
        <v>-5.9325477550465777</v>
      </c>
      <c r="M105" s="96">
        <v>-8.2903551961548327</v>
      </c>
      <c r="N105" s="96">
        <v>-10.876337550918727</v>
      </c>
      <c r="O105" s="97">
        <v>-109.60001685925795</v>
      </c>
    </row>
    <row r="106" spans="1:15" x14ac:dyDescent="0.25">
      <c r="A106" s="226"/>
      <c r="B106" s="94" t="s">
        <v>27</v>
      </c>
      <c r="C106" s="95">
        <v>-340.07454505039891</v>
      </c>
      <c r="D106" s="96">
        <v>-342.41988674040169</v>
      </c>
      <c r="E106" s="96">
        <v>-227.49814393026685</v>
      </c>
      <c r="F106" s="96">
        <v>-220.46211886025861</v>
      </c>
      <c r="G106" s="96">
        <v>-248.60621914029161</v>
      </c>
      <c r="H106" s="96">
        <v>-309.58510308036318</v>
      </c>
      <c r="I106" s="96">
        <v>-326.00249491038244</v>
      </c>
      <c r="J106" s="96">
        <v>-318.9664698403742</v>
      </c>
      <c r="K106" s="96">
        <v>-272.05963604031916</v>
      </c>
      <c r="L106" s="96">
        <v>-182.93665182021459</v>
      </c>
      <c r="M106" s="96">
        <v>-255.64224421029988</v>
      </c>
      <c r="N106" s="96">
        <v>-335.38386167039346</v>
      </c>
      <c r="O106" s="97">
        <v>-3379.6373752939644</v>
      </c>
    </row>
    <row r="107" spans="1:15" x14ac:dyDescent="0.25">
      <c r="A107" s="226"/>
      <c r="B107" s="94" t="s">
        <v>51</v>
      </c>
      <c r="C107" s="95">
        <v>481.4</v>
      </c>
      <c r="D107" s="96">
        <v>484.71999999999997</v>
      </c>
      <c r="E107" s="96">
        <v>322.03999999999996</v>
      </c>
      <c r="F107" s="96">
        <v>312.08</v>
      </c>
      <c r="G107" s="96">
        <v>351.91999999999996</v>
      </c>
      <c r="H107" s="96">
        <v>438.23999999999995</v>
      </c>
      <c r="I107" s="96">
        <v>461.47999999999996</v>
      </c>
      <c r="J107" s="96">
        <v>451.52</v>
      </c>
      <c r="K107" s="96">
        <v>385.12</v>
      </c>
      <c r="L107" s="96">
        <v>258.95999999999998</v>
      </c>
      <c r="M107" s="96">
        <v>361.88</v>
      </c>
      <c r="N107" s="96">
        <v>474.76</v>
      </c>
      <c r="O107" s="97">
        <v>4784.12</v>
      </c>
    </row>
    <row r="108" spans="1:15" x14ac:dyDescent="0.25">
      <c r="A108" s="226"/>
      <c r="B108" s="94" t="s">
        <v>89</v>
      </c>
      <c r="C108" s="95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97">
        <v>0</v>
      </c>
    </row>
    <row r="109" spans="1:15" x14ac:dyDescent="0.25">
      <c r="A109" s="226"/>
      <c r="B109" s="94" t="s">
        <v>91</v>
      </c>
      <c r="C109" s="95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97">
        <v>0</v>
      </c>
    </row>
    <row r="110" spans="1:15" x14ac:dyDescent="0.25">
      <c r="A110" s="84" t="s">
        <v>85</v>
      </c>
      <c r="B110" s="84" t="s">
        <v>72</v>
      </c>
      <c r="C110" s="91">
        <v>43.079381196514241</v>
      </c>
      <c r="D110" s="92">
        <v>35.724364894670344</v>
      </c>
      <c r="E110" s="92">
        <v>26.267915363728196</v>
      </c>
      <c r="F110" s="92">
        <v>32.572215051022958</v>
      </c>
      <c r="G110" s="92">
        <v>29.420065207375579</v>
      </c>
      <c r="H110" s="92">
        <v>48.332964269259875</v>
      </c>
      <c r="I110" s="92">
        <v>48.332964269259875</v>
      </c>
      <c r="J110" s="92">
        <v>45.180814425612496</v>
      </c>
      <c r="K110" s="92">
        <v>43.079381196514241</v>
      </c>
      <c r="L110" s="92">
        <v>33.622931665572089</v>
      </c>
      <c r="M110" s="92">
        <v>31.521498436473834</v>
      </c>
      <c r="N110" s="92">
        <v>40.977947967415986</v>
      </c>
      <c r="O110" s="93">
        <v>458.11244394341975</v>
      </c>
    </row>
    <row r="111" spans="1:15" x14ac:dyDescent="0.25">
      <c r="A111" s="226"/>
      <c r="B111" s="94" t="s">
        <v>25</v>
      </c>
      <c r="C111" s="95">
        <v>-93.040618803485756</v>
      </c>
      <c r="D111" s="96">
        <v>-77.155635105329651</v>
      </c>
      <c r="E111" s="96">
        <v>-56.732084636271807</v>
      </c>
      <c r="F111" s="96">
        <v>-70.347784948977051</v>
      </c>
      <c r="G111" s="96">
        <v>-63.539934792624415</v>
      </c>
      <c r="H111" s="96">
        <v>-104.38703573074012</v>
      </c>
      <c r="I111" s="96">
        <v>-104.38703573074012</v>
      </c>
      <c r="J111" s="96">
        <v>-97.579185574387495</v>
      </c>
      <c r="K111" s="96">
        <v>-93.040618803485756</v>
      </c>
      <c r="L111" s="96">
        <v>-72.617068334427898</v>
      </c>
      <c r="M111" s="96">
        <v>-68.07850156352616</v>
      </c>
      <c r="N111" s="96">
        <v>-88.502052032584004</v>
      </c>
      <c r="O111" s="97">
        <v>-989.40755605658023</v>
      </c>
    </row>
    <row r="112" spans="1:15" x14ac:dyDescent="0.25">
      <c r="A112" s="226"/>
      <c r="B112" s="94" t="s">
        <v>26</v>
      </c>
      <c r="C112" s="95">
        <v>-3.1183904866270478</v>
      </c>
      <c r="D112" s="96">
        <v>-2.5859823547638929</v>
      </c>
      <c r="E112" s="96">
        <v>-1.9014576137969801</v>
      </c>
      <c r="F112" s="96">
        <v>-2.357807441108255</v>
      </c>
      <c r="G112" s="96">
        <v>-2.1296325274526176</v>
      </c>
      <c r="H112" s="96">
        <v>-3.4986820093864432</v>
      </c>
      <c r="I112" s="96">
        <v>-3.4986820093864432</v>
      </c>
      <c r="J112" s="96">
        <v>-3.2705070957308058</v>
      </c>
      <c r="K112" s="96">
        <v>-3.1183904866270478</v>
      </c>
      <c r="L112" s="96">
        <v>-2.4338657456601345</v>
      </c>
      <c r="M112" s="96">
        <v>-2.2817491365563765</v>
      </c>
      <c r="N112" s="96">
        <v>-2.9662738775232889</v>
      </c>
      <c r="O112" s="97">
        <v>-33.161420784619338</v>
      </c>
    </row>
    <row r="113" spans="1:15" x14ac:dyDescent="0.25">
      <c r="A113" s="226"/>
      <c r="B113" s="94" t="s">
        <v>27</v>
      </c>
      <c r="C113" s="95">
        <v>-96.159009290112806</v>
      </c>
      <c r="D113" s="96">
        <v>-79.741617460093551</v>
      </c>
      <c r="E113" s="96">
        <v>-58.633542250068786</v>
      </c>
      <c r="F113" s="96">
        <v>-72.7055923900853</v>
      </c>
      <c r="G113" s="96">
        <v>-65.669567320077036</v>
      </c>
      <c r="H113" s="96">
        <v>-107.88571774012657</v>
      </c>
      <c r="I113" s="96">
        <v>-107.88571774012657</v>
      </c>
      <c r="J113" s="96">
        <v>-100.8496926701183</v>
      </c>
      <c r="K113" s="96">
        <v>-96.159009290112806</v>
      </c>
      <c r="L113" s="96">
        <v>-75.050934080088027</v>
      </c>
      <c r="M113" s="96">
        <v>-70.360250700082531</v>
      </c>
      <c r="N113" s="96">
        <v>-91.468325910107296</v>
      </c>
      <c r="O113" s="97">
        <v>-1022.5689768411996</v>
      </c>
    </row>
    <row r="114" spans="1:15" x14ac:dyDescent="0.25">
      <c r="A114" s="226"/>
      <c r="B114" s="94" t="s">
        <v>51</v>
      </c>
      <c r="C114" s="95">
        <v>136.12</v>
      </c>
      <c r="D114" s="96">
        <v>112.88</v>
      </c>
      <c r="E114" s="96">
        <v>83</v>
      </c>
      <c r="F114" s="96">
        <v>102.92</v>
      </c>
      <c r="G114" s="96">
        <v>92.96</v>
      </c>
      <c r="H114" s="96">
        <v>152.72</v>
      </c>
      <c r="I114" s="96">
        <v>152.72</v>
      </c>
      <c r="J114" s="96">
        <v>142.76</v>
      </c>
      <c r="K114" s="96">
        <v>136.12</v>
      </c>
      <c r="L114" s="96">
        <v>106.24</v>
      </c>
      <c r="M114" s="96">
        <v>99.6</v>
      </c>
      <c r="N114" s="96">
        <v>129.47999999999999</v>
      </c>
      <c r="O114" s="97">
        <v>1447.52</v>
      </c>
    </row>
    <row r="115" spans="1:15" x14ac:dyDescent="0.25">
      <c r="A115" s="226"/>
      <c r="B115" s="94" t="s">
        <v>89</v>
      </c>
      <c r="C115" s="95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97">
        <v>0</v>
      </c>
    </row>
    <row r="116" spans="1:15" x14ac:dyDescent="0.25">
      <c r="A116" s="226"/>
      <c r="B116" s="94" t="s">
        <v>91</v>
      </c>
      <c r="C116" s="95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97">
        <v>0</v>
      </c>
    </row>
    <row r="117" spans="1:15" x14ac:dyDescent="0.25">
      <c r="A117" s="84" t="s">
        <v>73</v>
      </c>
      <c r="B117" s="85"/>
      <c r="C117" s="91">
        <v>7985.4462705733713</v>
      </c>
      <c r="D117" s="92">
        <v>8058.9964335918103</v>
      </c>
      <c r="E117" s="92">
        <v>6799.1872127474053</v>
      </c>
      <c r="F117" s="92">
        <v>7363.4220347602859</v>
      </c>
      <c r="G117" s="92">
        <v>7682.8398855832229</v>
      </c>
      <c r="H117" s="92">
        <v>9500.5796287532121</v>
      </c>
      <c r="I117" s="92">
        <v>10097.386665817119</v>
      </c>
      <c r="J117" s="92">
        <v>10404.195917265462</v>
      </c>
      <c r="K117" s="92">
        <v>9182.2124945448286</v>
      </c>
      <c r="L117" s="92">
        <v>7620.8476053248241</v>
      </c>
      <c r="M117" s="92">
        <v>7035.5984510209591</v>
      </c>
      <c r="N117" s="92">
        <v>7968.6348047405863</v>
      </c>
      <c r="O117" s="93">
        <v>99699.347404723085</v>
      </c>
    </row>
    <row r="118" spans="1:15" ht="13" x14ac:dyDescent="0.3">
      <c r="A118" s="84" t="s">
        <v>28</v>
      </c>
      <c r="B118" s="85"/>
      <c r="C118" s="233">
        <v>-17246.553729426632</v>
      </c>
      <c r="D118" s="234">
        <v>-17405.403566408182</v>
      </c>
      <c r="E118" s="234">
        <v>-14684.532787252596</v>
      </c>
      <c r="F118" s="234">
        <v>-15903.137965239712</v>
      </c>
      <c r="G118" s="234">
        <v>-16593.000114416776</v>
      </c>
      <c r="H118" s="234">
        <v>-20518.860371246781</v>
      </c>
      <c r="I118" s="234">
        <v>-21807.813334182876</v>
      </c>
      <c r="J118" s="234">
        <v>-22470.444082734539</v>
      </c>
      <c r="K118" s="234">
        <v>-19831.267505455169</v>
      </c>
      <c r="L118" s="234">
        <v>-16459.112394675176</v>
      </c>
      <c r="M118" s="234">
        <v>-15195.121548979043</v>
      </c>
      <c r="N118" s="234">
        <v>-17210.245195259413</v>
      </c>
      <c r="O118" s="235">
        <v>-215325.49259527685</v>
      </c>
    </row>
    <row r="119" spans="1:15" ht="13" x14ac:dyDescent="0.3">
      <c r="A119" s="84" t="s">
        <v>29</v>
      </c>
      <c r="B119" s="85"/>
      <c r="C119" s="233">
        <v>-578.04311459428186</v>
      </c>
      <c r="D119" s="234">
        <v>-583.36719591291364</v>
      </c>
      <c r="E119" s="234">
        <v>-492.17328875521031</v>
      </c>
      <c r="F119" s="234">
        <v>-533.01659829956941</v>
      </c>
      <c r="G119" s="234">
        <v>-556.13832288334072</v>
      </c>
      <c r="H119" s="234">
        <v>-687.71918975809183</v>
      </c>
      <c r="I119" s="234">
        <v>-730.92030674355919</v>
      </c>
      <c r="J119" s="234">
        <v>-753.12933167270785</v>
      </c>
      <c r="K119" s="234">
        <v>-664.67352347887254</v>
      </c>
      <c r="L119" s="234">
        <v>-551.65088291477991</v>
      </c>
      <c r="M119" s="234">
        <v>-509.28640727938324</v>
      </c>
      <c r="N119" s="234">
        <v>-576.8261817214518</v>
      </c>
      <c r="O119" s="235">
        <v>-7216.9443440141631</v>
      </c>
    </row>
    <row r="120" spans="1:15" ht="13" x14ac:dyDescent="0.3">
      <c r="A120" s="84" t="s">
        <v>30</v>
      </c>
      <c r="B120" s="85"/>
      <c r="C120" s="233">
        <v>-17824.596844020907</v>
      </c>
      <c r="D120" s="234">
        <v>-17988.770762321106</v>
      </c>
      <c r="E120" s="234">
        <v>-15176.706076007804</v>
      </c>
      <c r="F120" s="234">
        <v>-16436.154563539279</v>
      </c>
      <c r="G120" s="234">
        <v>-17149.13843730012</v>
      </c>
      <c r="H120" s="234">
        <v>-21206.579561004877</v>
      </c>
      <c r="I120" s="234">
        <v>-22538.733640926439</v>
      </c>
      <c r="J120" s="234">
        <v>-23223.573414407248</v>
      </c>
      <c r="K120" s="234">
        <v>-20495.941028934041</v>
      </c>
      <c r="L120" s="234">
        <v>-17010.763277589962</v>
      </c>
      <c r="M120" s="234">
        <v>-15704.407956258425</v>
      </c>
      <c r="N120" s="234">
        <v>-17787.071376980872</v>
      </c>
      <c r="O120" s="235">
        <v>-222542.43693929107</v>
      </c>
    </row>
    <row r="121" spans="1:15" x14ac:dyDescent="0.25">
      <c r="A121" s="84" t="s">
        <v>63</v>
      </c>
      <c r="B121" s="85"/>
      <c r="C121" s="91">
        <v>25232.000000000004</v>
      </c>
      <c r="D121" s="92">
        <v>25464.400000000001</v>
      </c>
      <c r="E121" s="92">
        <v>21483.72</v>
      </c>
      <c r="F121" s="92">
        <v>23266.560000000009</v>
      </c>
      <c r="G121" s="92">
        <v>24275.839999999997</v>
      </c>
      <c r="H121" s="92">
        <v>30019.439999999995</v>
      </c>
      <c r="I121" s="92">
        <v>31905.200000000001</v>
      </c>
      <c r="J121" s="92">
        <v>32874.639999999999</v>
      </c>
      <c r="K121" s="92">
        <v>29013.48</v>
      </c>
      <c r="L121" s="92">
        <v>24079.960000000003</v>
      </c>
      <c r="M121" s="92">
        <v>22230.720000000001</v>
      </c>
      <c r="N121" s="92">
        <v>25178.880000000001</v>
      </c>
      <c r="O121" s="93">
        <v>315024.84000000003</v>
      </c>
    </row>
    <row r="122" spans="1:15" x14ac:dyDescent="0.25">
      <c r="A122" s="84" t="s">
        <v>90</v>
      </c>
      <c r="B122" s="85"/>
      <c r="C122" s="91">
        <v>0</v>
      </c>
      <c r="D122" s="92">
        <v>0</v>
      </c>
      <c r="E122" s="92">
        <v>0</v>
      </c>
      <c r="F122" s="92">
        <v>0</v>
      </c>
      <c r="G122" s="92">
        <v>0</v>
      </c>
      <c r="H122" s="92">
        <v>0</v>
      </c>
      <c r="I122" s="92">
        <v>0</v>
      </c>
      <c r="J122" s="92">
        <v>0</v>
      </c>
      <c r="K122" s="92">
        <v>0</v>
      </c>
      <c r="L122" s="92">
        <v>0</v>
      </c>
      <c r="M122" s="92">
        <v>0</v>
      </c>
      <c r="N122" s="92">
        <v>0</v>
      </c>
      <c r="O122" s="93">
        <v>0</v>
      </c>
    </row>
    <row r="123" spans="1:15" x14ac:dyDescent="0.25">
      <c r="A123" s="98" t="s">
        <v>92</v>
      </c>
      <c r="B123" s="227"/>
      <c r="C123" s="99">
        <v>0</v>
      </c>
      <c r="D123" s="100">
        <v>0</v>
      </c>
      <c r="E123" s="100">
        <v>0</v>
      </c>
      <c r="F123" s="100">
        <v>0</v>
      </c>
      <c r="G123" s="100">
        <v>0</v>
      </c>
      <c r="H123" s="100">
        <v>0</v>
      </c>
      <c r="I123" s="100">
        <v>0</v>
      </c>
      <c r="J123" s="100">
        <v>0</v>
      </c>
      <c r="K123" s="100">
        <v>0</v>
      </c>
      <c r="L123" s="100">
        <v>0</v>
      </c>
      <c r="M123" s="100">
        <v>0</v>
      </c>
      <c r="N123" s="100">
        <v>0</v>
      </c>
      <c r="O123" s="101">
        <v>0</v>
      </c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220"/>
  <sheetViews>
    <sheetView showGridLines="0" tabSelected="1" zoomScale="80" zoomScaleNormal="80" zoomScaleSheetLayoutView="100" workbookViewId="0">
      <selection activeCell="C6" sqref="C6"/>
    </sheetView>
  </sheetViews>
  <sheetFormatPr defaultColWidth="8.7265625" defaultRowHeight="12.5" x14ac:dyDescent="0.25"/>
  <cols>
    <col min="1" max="1" width="0.54296875" style="1" customWidth="1"/>
    <col min="2" max="2" width="10.26953125" style="1" bestFit="1" customWidth="1"/>
    <col min="3" max="3" width="10.7265625" style="1" bestFit="1" customWidth="1"/>
    <col min="4" max="4" width="11" style="150" customWidth="1"/>
    <col min="5" max="5" width="24.26953125" style="1" customWidth="1"/>
    <col min="6" max="6" width="7.7265625" style="150" customWidth="1"/>
    <col min="7" max="7" width="6.7265625" style="150" customWidth="1"/>
    <col min="8" max="8" width="11.1796875" style="150" bestFit="1" customWidth="1"/>
    <col min="9" max="9" width="11.26953125" style="151" customWidth="1"/>
    <col min="10" max="10" width="13.7265625" style="150" customWidth="1"/>
    <col min="11" max="11" width="13.54296875" style="152" customWidth="1"/>
    <col min="12" max="12" width="14.7265625" style="150" customWidth="1"/>
    <col min="13" max="13" width="13.453125" style="113" bestFit="1" customWidth="1"/>
    <col min="14" max="17" width="13.453125" style="113" customWidth="1"/>
    <col min="18" max="18" width="15.54296875" style="225" customWidth="1"/>
    <col min="19" max="16384" width="8.7265625" style="1"/>
  </cols>
  <sheetData>
    <row r="1" spans="2:18" ht="21.5" x14ac:dyDescent="0.3">
      <c r="B1" s="10" t="s">
        <v>98</v>
      </c>
      <c r="C1" s="102"/>
      <c r="D1" s="103"/>
      <c r="E1" s="102"/>
      <c r="F1" s="104" t="s">
        <v>12</v>
      </c>
      <c r="G1" s="105"/>
      <c r="H1" s="106"/>
      <c r="I1" s="107"/>
      <c r="J1" s="108" t="str">
        <f>"True-Up ARR
(CY"&amp;R1&amp;")"</f>
        <v>True-Up ARR
(CY2020)</v>
      </c>
      <c r="K1" s="108" t="str">
        <f>"Projected ARR
(Jan'"&amp;RIGHT(R$1,2)&amp;" - Dec'"&amp;RIGHT(R$1,2)&amp;")"</f>
        <v>Projected ARR
(Jan'20 - Dec'20)</v>
      </c>
      <c r="L1" s="109" t="s">
        <v>47</v>
      </c>
      <c r="M1" s="110"/>
      <c r="N1" s="52"/>
      <c r="O1" s="52"/>
      <c r="P1" s="52"/>
      <c r="Q1" s="52"/>
      <c r="R1" s="111">
        <v>2020</v>
      </c>
    </row>
    <row r="2" spans="2:18" ht="13" x14ac:dyDescent="0.3">
      <c r="B2" s="10" t="s">
        <v>54</v>
      </c>
      <c r="C2" s="102"/>
      <c r="D2" s="103"/>
      <c r="E2" s="102"/>
      <c r="F2" s="112">
        <v>9</v>
      </c>
      <c r="G2" s="250"/>
      <c r="H2" s="250"/>
      <c r="I2" s="114" t="s">
        <v>6</v>
      </c>
      <c r="J2" s="115">
        <v>99699.347404723085</v>
      </c>
      <c r="K2" s="115">
        <v>332187.17823726643</v>
      </c>
      <c r="L2" s="116"/>
      <c r="M2" s="117"/>
      <c r="N2" s="52"/>
      <c r="O2" s="52"/>
      <c r="P2" s="52"/>
      <c r="Q2" s="52"/>
      <c r="R2" s="1"/>
    </row>
    <row r="3" spans="2:18" ht="13" x14ac:dyDescent="0.3">
      <c r="B3" s="10" t="str">
        <f>"for CY"&amp;R1&amp;" SPP Network Transmission Service"</f>
        <v>for CY2020 SPP Network Transmission Service</v>
      </c>
      <c r="C3" s="102"/>
      <c r="D3" s="103"/>
      <c r="E3" s="102"/>
      <c r="F3" s="112"/>
      <c r="G3" s="250"/>
      <c r="H3" s="250"/>
      <c r="I3" s="114" t="s">
        <v>10</v>
      </c>
      <c r="J3" s="118">
        <v>1.0507166145491278</v>
      </c>
      <c r="K3" s="118">
        <v>3.32</v>
      </c>
      <c r="L3" s="119" t="str">
        <f>"Inv. Jan-Dec'"&amp;RIGHT(R1,2)</f>
        <v>Inv. Jan-Dec'20</v>
      </c>
      <c r="M3" s="117"/>
      <c r="N3" s="52"/>
      <c r="O3" s="52"/>
      <c r="P3" s="52"/>
      <c r="Q3" s="52"/>
      <c r="R3" s="1"/>
    </row>
    <row r="4" spans="2:18" ht="13" x14ac:dyDescent="0.3">
      <c r="B4" s="9"/>
      <c r="C4" s="102"/>
      <c r="D4" s="103"/>
      <c r="E4" s="102"/>
      <c r="F4" s="112"/>
      <c r="G4" s="113"/>
      <c r="H4" s="113"/>
      <c r="I4" s="51"/>
      <c r="J4" s="113"/>
      <c r="K4" s="120"/>
      <c r="L4" s="113"/>
      <c r="M4" s="121"/>
      <c r="P4" s="52"/>
      <c r="Q4" s="52"/>
      <c r="R4" s="1"/>
    </row>
    <row r="5" spans="2:18" ht="13" x14ac:dyDescent="0.3">
      <c r="B5" s="9"/>
      <c r="C5" s="102"/>
      <c r="D5" s="103"/>
      <c r="E5" s="102"/>
      <c r="F5" s="112"/>
      <c r="G5" s="113"/>
      <c r="H5" s="113"/>
      <c r="I5" s="114"/>
      <c r="J5" s="113"/>
      <c r="K5" s="115">
        <v>0</v>
      </c>
      <c r="L5" s="116"/>
      <c r="M5" s="122"/>
      <c r="N5" s="123"/>
      <c r="O5" s="123"/>
      <c r="P5" s="52"/>
      <c r="Q5" s="52"/>
      <c r="R5" s="124"/>
    </row>
    <row r="6" spans="2:18" ht="13" x14ac:dyDescent="0.3">
      <c r="B6" s="10" t="s">
        <v>23</v>
      </c>
      <c r="D6" s="103"/>
      <c r="E6" s="102"/>
      <c r="F6" s="125"/>
      <c r="G6" s="126"/>
      <c r="H6" s="127"/>
      <c r="I6" s="128"/>
      <c r="J6" s="129"/>
      <c r="K6" s="118">
        <v>0</v>
      </c>
      <c r="L6" s="229"/>
      <c r="M6" s="122"/>
      <c r="N6" s="123"/>
      <c r="O6" s="123"/>
      <c r="P6" s="123"/>
      <c r="Q6" s="123"/>
      <c r="R6" s="1"/>
    </row>
    <row r="7" spans="2:18" ht="13" x14ac:dyDescent="0.3">
      <c r="B7" s="9" t="s">
        <v>79</v>
      </c>
      <c r="D7" s="103"/>
      <c r="E7" s="102"/>
      <c r="F7" s="112"/>
      <c r="G7" s="251"/>
      <c r="H7" s="250"/>
      <c r="I7" s="114"/>
      <c r="J7" s="130"/>
      <c r="K7" s="116"/>
      <c r="L7" s="116"/>
      <c r="M7" s="131"/>
      <c r="N7" s="132"/>
      <c r="O7" s="132"/>
      <c r="P7" s="132"/>
      <c r="Q7" s="132"/>
      <c r="R7" s="1"/>
    </row>
    <row r="8" spans="2:18" ht="13" x14ac:dyDescent="0.3">
      <c r="B8" s="10"/>
      <c r="C8" s="102"/>
      <c r="D8" s="103"/>
      <c r="E8" s="102"/>
      <c r="F8" s="112"/>
      <c r="G8" s="250"/>
      <c r="H8" s="250"/>
      <c r="I8" s="114"/>
      <c r="J8" s="133"/>
      <c r="K8" s="116"/>
      <c r="L8" s="134"/>
      <c r="M8" s="117"/>
      <c r="N8" s="52"/>
      <c r="O8" s="52"/>
      <c r="P8" s="52"/>
      <c r="Q8" s="52"/>
      <c r="R8" s="124"/>
    </row>
    <row r="9" spans="2:18" ht="13" x14ac:dyDescent="0.3">
      <c r="B9" s="135"/>
      <c r="C9" s="102"/>
      <c r="D9" s="103"/>
      <c r="E9" s="102"/>
      <c r="F9" s="112"/>
      <c r="G9" s="113"/>
      <c r="H9" s="113"/>
      <c r="I9" s="136"/>
      <c r="J9" s="137"/>
      <c r="K9" s="138"/>
      <c r="L9" s="139"/>
      <c r="M9" s="117"/>
      <c r="N9" s="52"/>
      <c r="O9" s="52"/>
      <c r="P9" s="52"/>
      <c r="Q9" s="52"/>
      <c r="R9" s="124"/>
    </row>
    <row r="10" spans="2:18" ht="13.5" thickBot="1" x14ac:dyDescent="0.35">
      <c r="B10" s="9"/>
      <c r="D10" s="1"/>
      <c r="E10" s="140"/>
      <c r="F10" s="141"/>
      <c r="G10" s="142"/>
      <c r="H10" s="143"/>
      <c r="I10" s="144"/>
      <c r="J10" s="145"/>
      <c r="K10" s="145"/>
      <c r="L10" s="146"/>
      <c r="M10" s="147"/>
      <c r="R10" s="148"/>
    </row>
    <row r="11" spans="2:18" ht="13" x14ac:dyDescent="0.3">
      <c r="B11" s="149" t="s">
        <v>97</v>
      </c>
      <c r="E11" s="140"/>
      <c r="L11" s="153"/>
      <c r="M11" s="1"/>
      <c r="N11" s="1"/>
      <c r="O11" s="1"/>
      <c r="P11" s="1"/>
      <c r="Q11" s="1"/>
      <c r="R11" s="124"/>
    </row>
    <row r="12" spans="2:18" x14ac:dyDescent="0.25">
      <c r="E12" s="140"/>
      <c r="J12" s="228"/>
      <c r="L12" s="153"/>
      <c r="R12" s="154" t="s">
        <v>62</v>
      </c>
    </row>
    <row r="13" spans="2:18" ht="13" x14ac:dyDescent="0.3">
      <c r="E13" s="140"/>
      <c r="F13" s="155"/>
      <c r="G13" s="156"/>
      <c r="H13" s="156"/>
      <c r="I13" s="157" t="s">
        <v>60</v>
      </c>
      <c r="J13" s="158">
        <f t="shared" ref="J13:R13" si="0">SUM(J56:J211)</f>
        <v>25487.232919118196</v>
      </c>
      <c r="K13" s="158">
        <f t="shared" si="0"/>
        <v>80533.240000000078</v>
      </c>
      <c r="L13" s="159">
        <f t="shared" si="0"/>
        <v>-55046.007080881827</v>
      </c>
      <c r="M13" s="160">
        <f t="shared" si="0"/>
        <v>-1844.9462935149338</v>
      </c>
      <c r="N13" s="158">
        <f t="shared" si="0"/>
        <v>-56890.953374396733</v>
      </c>
      <c r="O13" s="158">
        <f t="shared" si="0"/>
        <v>0</v>
      </c>
      <c r="P13" s="158">
        <f t="shared" si="0"/>
        <v>0</v>
      </c>
      <c r="Q13" s="158">
        <f t="shared" si="0"/>
        <v>0</v>
      </c>
      <c r="R13" s="159">
        <f t="shared" si="0"/>
        <v>-56890.953374396733</v>
      </c>
    </row>
    <row r="14" spans="2:18" ht="13" x14ac:dyDescent="0.3">
      <c r="E14" s="140"/>
      <c r="F14" s="161"/>
      <c r="G14" s="161"/>
      <c r="H14" s="161"/>
      <c r="I14" s="162" t="s">
        <v>61</v>
      </c>
      <c r="J14" s="158">
        <f>SUM(J20:J211)</f>
        <v>99699.347404723085</v>
      </c>
      <c r="K14" s="158">
        <f>SUM(K20:K211)</f>
        <v>315024.83999999985</v>
      </c>
      <c r="L14" s="159">
        <f>SUM(L20:L211)</f>
        <v>-215325.492595277</v>
      </c>
      <c r="M14" s="236">
        <v>-7216.9443440141622</v>
      </c>
      <c r="N14" s="158">
        <f>SUM(N20:N211)</f>
        <v>-222542.43693929093</v>
      </c>
      <c r="O14" s="158">
        <f>SUM(O20:O211)</f>
        <v>0</v>
      </c>
      <c r="P14" s="158">
        <f>SUM(P20:P211)</f>
        <v>0</v>
      </c>
      <c r="Q14" s="158">
        <f>SUM(Q20:Q211)</f>
        <v>0</v>
      </c>
      <c r="R14" s="159">
        <f>SUM(R20:R211)</f>
        <v>-222542.43693929093</v>
      </c>
    </row>
    <row r="15" spans="2:18" x14ac:dyDescent="0.25">
      <c r="B15" s="163" t="s">
        <v>84</v>
      </c>
      <c r="E15" s="140"/>
      <c r="J15" s="151"/>
      <c r="L15" s="153"/>
      <c r="M15" s="164"/>
      <c r="N15" s="164"/>
      <c r="O15" s="164"/>
      <c r="P15" s="164"/>
      <c r="Q15" s="164"/>
      <c r="R15" s="165" t="s">
        <v>20</v>
      </c>
    </row>
    <row r="16" spans="2:18" x14ac:dyDescent="0.25">
      <c r="B16" s="166" t="str">
        <f>"** Actual Trued-Up CY"&amp;R1&amp;" Charge reflects "&amp;R1&amp;" True-UP Rate x MW"</f>
        <v>** Actual Trued-Up CY2020 Charge reflects 2020 True-UP Rate x MW</v>
      </c>
      <c r="E16" s="140"/>
      <c r="F16" s="113"/>
      <c r="G16" s="5"/>
      <c r="J16" s="167"/>
      <c r="L16" s="168" t="s">
        <v>11</v>
      </c>
      <c r="M16" s="164"/>
      <c r="N16" s="164"/>
      <c r="O16" s="164"/>
      <c r="P16" s="164"/>
      <c r="Q16" s="164"/>
      <c r="R16" s="169"/>
    </row>
    <row r="17" spans="1:18" x14ac:dyDescent="0.25">
      <c r="B17" s="170" t="s">
        <v>64</v>
      </c>
      <c r="E17" s="140"/>
      <c r="I17" s="171"/>
      <c r="J17" s="172"/>
      <c r="K17" s="173"/>
      <c r="L17" s="173"/>
      <c r="M17" s="173"/>
      <c r="N17" s="173"/>
      <c r="O17" s="173"/>
      <c r="P17" s="173"/>
      <c r="Q17" s="173"/>
      <c r="R17" s="174"/>
    </row>
    <row r="18" spans="1:18" ht="3.65" customHeight="1" x14ac:dyDescent="0.25">
      <c r="I18" s="175"/>
      <c r="J18" s="172"/>
      <c r="K18" s="175"/>
      <c r="L18" s="175"/>
      <c r="M18" s="176"/>
      <c r="N18" s="176"/>
      <c r="O18" s="176"/>
      <c r="P18" s="176"/>
      <c r="Q18" s="176"/>
      <c r="R18" s="177"/>
    </row>
    <row r="19" spans="1:18" ht="38.25" customHeight="1" x14ac:dyDescent="0.25">
      <c r="B19" s="178" t="s">
        <v>55</v>
      </c>
      <c r="C19" s="179" t="s">
        <v>4</v>
      </c>
      <c r="D19" s="179" t="s">
        <v>5</v>
      </c>
      <c r="E19" s="180" t="s">
        <v>0</v>
      </c>
      <c r="F19" s="181" t="s">
        <v>12</v>
      </c>
      <c r="G19" s="182" t="s">
        <v>1</v>
      </c>
      <c r="H19" s="183" t="s">
        <v>50</v>
      </c>
      <c r="I19" s="183" t="s">
        <v>48</v>
      </c>
      <c r="J19" s="184" t="str">
        <f>"True-Up Charge"</f>
        <v>True-Up Charge</v>
      </c>
      <c r="K19" s="184" t="s">
        <v>49</v>
      </c>
      <c r="L19" s="185" t="s">
        <v>3</v>
      </c>
      <c r="M19" s="186" t="s">
        <v>7</v>
      </c>
      <c r="N19" s="187" t="s">
        <v>99</v>
      </c>
      <c r="O19" s="187" t="s">
        <v>86</v>
      </c>
      <c r="P19" s="187" t="s">
        <v>87</v>
      </c>
      <c r="Q19" s="187" t="s">
        <v>88</v>
      </c>
      <c r="R19" s="188" t="s">
        <v>2</v>
      </c>
    </row>
    <row r="20" spans="1:18" s="52" customFormat="1" ht="12.75" customHeight="1" x14ac:dyDescent="0.25">
      <c r="A20" s="113">
        <v>1</v>
      </c>
      <c r="B20" s="189">
        <f>DATE($R$1,A20,1)</f>
        <v>43831</v>
      </c>
      <c r="C20" s="190">
        <v>43866</v>
      </c>
      <c r="D20" s="190">
        <v>43885</v>
      </c>
      <c r="E20" s="191" t="s">
        <v>21</v>
      </c>
      <c r="F20" s="113">
        <v>9</v>
      </c>
      <c r="G20" s="192">
        <v>2580</v>
      </c>
      <c r="H20" s="193">
        <f>+$K$3</f>
        <v>3.32</v>
      </c>
      <c r="I20" s="193">
        <f t="shared" ref="I20:I63" si="1">$J$3</f>
        <v>1.0507166145491278</v>
      </c>
      <c r="J20" s="194">
        <f t="shared" ref="J20:J108" si="2">+$G20*I20</f>
        <v>2710.8488655367496</v>
      </c>
      <c r="K20" s="195">
        <f>+$G20*H20</f>
        <v>8565.6</v>
      </c>
      <c r="L20" s="196">
        <f t="shared" ref="L20:L34" si="3">+J20-K20</f>
        <v>-5854.7511344632512</v>
      </c>
      <c r="M20" s="197">
        <f>G20/$G$212*$M$14</f>
        <v>-196.23042574384834</v>
      </c>
      <c r="N20" s="198">
        <f>SUM(L20:M20)</f>
        <v>-6050.9815602070994</v>
      </c>
      <c r="O20" s="197">
        <v>0</v>
      </c>
      <c r="P20" s="197">
        <v>0</v>
      </c>
      <c r="Q20" s="197">
        <v>0</v>
      </c>
      <c r="R20" s="198">
        <f>+N20-Q20</f>
        <v>-6050.9815602070994</v>
      </c>
    </row>
    <row r="21" spans="1:18" x14ac:dyDescent="0.25">
      <c r="A21" s="150">
        <v>2</v>
      </c>
      <c r="B21" s="189">
        <f t="shared" ref="B21:B108" si="4">DATE($R$1,A21,1)</f>
        <v>43862</v>
      </c>
      <c r="C21" s="190">
        <v>43894</v>
      </c>
      <c r="D21" s="190">
        <v>43914</v>
      </c>
      <c r="E21" s="199" t="s">
        <v>21</v>
      </c>
      <c r="F21" s="150">
        <v>9</v>
      </c>
      <c r="G21" s="192">
        <v>2548</v>
      </c>
      <c r="H21" s="193">
        <f t="shared" ref="H21:H84" si="5">+$K$3</f>
        <v>3.32</v>
      </c>
      <c r="I21" s="193">
        <f t="shared" si="1"/>
        <v>1.0507166145491278</v>
      </c>
      <c r="J21" s="194">
        <f t="shared" si="2"/>
        <v>2677.2259338711774</v>
      </c>
      <c r="K21" s="195">
        <f t="shared" ref="K21:K33" si="6">+$G21*H21</f>
        <v>8459.3599999999988</v>
      </c>
      <c r="L21" s="196">
        <f t="shared" si="3"/>
        <v>-5782.1340661288214</v>
      </c>
      <c r="M21" s="197">
        <f t="shared" ref="M21:M84" si="7">G21/$G$212*$M$14</f>
        <v>-193.79655999818823</v>
      </c>
      <c r="N21" s="198">
        <f t="shared" ref="N21:N84" si="8">SUM(L21:M21)</f>
        <v>-5975.9306261270094</v>
      </c>
      <c r="O21" s="197">
        <v>0</v>
      </c>
      <c r="P21" s="197">
        <v>0</v>
      </c>
      <c r="Q21" s="197">
        <v>0</v>
      </c>
      <c r="R21" s="198">
        <f t="shared" ref="R21:R84" si="9">+N21-Q21</f>
        <v>-5975.9306261270094</v>
      </c>
    </row>
    <row r="22" spans="1:18" x14ac:dyDescent="0.25">
      <c r="A22" s="150">
        <v>3</v>
      </c>
      <c r="B22" s="189">
        <f t="shared" si="4"/>
        <v>43891</v>
      </c>
      <c r="C22" s="190">
        <v>43924</v>
      </c>
      <c r="D22" s="190">
        <v>43945</v>
      </c>
      <c r="E22" s="199" t="s">
        <v>21</v>
      </c>
      <c r="F22" s="150">
        <v>9</v>
      </c>
      <c r="G22" s="192">
        <v>2505</v>
      </c>
      <c r="H22" s="193">
        <f t="shared" si="5"/>
        <v>3.32</v>
      </c>
      <c r="I22" s="193">
        <f t="shared" si="1"/>
        <v>1.0507166145491278</v>
      </c>
      <c r="J22" s="194">
        <f t="shared" si="2"/>
        <v>2632.045119445565</v>
      </c>
      <c r="K22" s="195">
        <f t="shared" si="6"/>
        <v>8316.6</v>
      </c>
      <c r="L22" s="196">
        <f t="shared" si="3"/>
        <v>-5684.5548805544349</v>
      </c>
      <c r="M22" s="197">
        <f t="shared" si="7"/>
        <v>-190.52605290245742</v>
      </c>
      <c r="N22" s="198">
        <f t="shared" si="8"/>
        <v>-5875.0809334568921</v>
      </c>
      <c r="O22" s="197">
        <v>0</v>
      </c>
      <c r="P22" s="197">
        <v>0</v>
      </c>
      <c r="Q22" s="197">
        <v>0</v>
      </c>
      <c r="R22" s="198">
        <f t="shared" si="9"/>
        <v>-5875.0809334568921</v>
      </c>
    </row>
    <row r="23" spans="1:18" x14ac:dyDescent="0.25">
      <c r="A23" s="113">
        <v>4</v>
      </c>
      <c r="B23" s="189">
        <f t="shared" si="4"/>
        <v>43922</v>
      </c>
      <c r="C23" s="190">
        <v>43956</v>
      </c>
      <c r="D23" s="190">
        <v>43976</v>
      </c>
      <c r="E23" s="199" t="s">
        <v>21</v>
      </c>
      <c r="F23" s="150">
        <v>9</v>
      </c>
      <c r="G23" s="192">
        <v>2636</v>
      </c>
      <c r="H23" s="193">
        <f t="shared" si="5"/>
        <v>3.32</v>
      </c>
      <c r="I23" s="193">
        <f t="shared" si="1"/>
        <v>1.0507166145491278</v>
      </c>
      <c r="J23" s="194">
        <f t="shared" si="2"/>
        <v>2769.6889959515011</v>
      </c>
      <c r="K23" s="195">
        <f t="shared" si="6"/>
        <v>8751.52</v>
      </c>
      <c r="L23" s="196">
        <f t="shared" si="3"/>
        <v>-5981.8310040484994</v>
      </c>
      <c r="M23" s="197">
        <f t="shared" si="7"/>
        <v>-200.4896907987536</v>
      </c>
      <c r="N23" s="198">
        <f t="shared" si="8"/>
        <v>-6182.3206948472525</v>
      </c>
      <c r="O23" s="197">
        <v>0</v>
      </c>
      <c r="P23" s="197">
        <v>0</v>
      </c>
      <c r="Q23" s="197">
        <v>0</v>
      </c>
      <c r="R23" s="198">
        <f t="shared" si="9"/>
        <v>-6182.3206948472525</v>
      </c>
    </row>
    <row r="24" spans="1:18" ht="12" customHeight="1" x14ac:dyDescent="0.25">
      <c r="A24" s="150">
        <v>5</v>
      </c>
      <c r="B24" s="189">
        <f t="shared" si="4"/>
        <v>43952</v>
      </c>
      <c r="C24" s="190">
        <v>43985</v>
      </c>
      <c r="D24" s="190">
        <v>44006</v>
      </c>
      <c r="E24" s="54" t="s">
        <v>21</v>
      </c>
      <c r="F24" s="150">
        <v>9</v>
      </c>
      <c r="G24" s="192">
        <v>2911</v>
      </c>
      <c r="H24" s="193">
        <f t="shared" si="5"/>
        <v>3.32</v>
      </c>
      <c r="I24" s="193">
        <f t="shared" si="1"/>
        <v>1.0507166145491278</v>
      </c>
      <c r="J24" s="194">
        <f t="shared" si="2"/>
        <v>3058.6360649525109</v>
      </c>
      <c r="K24" s="195">
        <f t="shared" si="6"/>
        <v>9664.52</v>
      </c>
      <c r="L24" s="196">
        <f t="shared" si="3"/>
        <v>-6605.88393504749</v>
      </c>
      <c r="M24" s="197">
        <f t="shared" si="7"/>
        <v>-221.40572455052038</v>
      </c>
      <c r="N24" s="198">
        <f t="shared" si="8"/>
        <v>-6827.2896595980101</v>
      </c>
      <c r="O24" s="197">
        <v>0</v>
      </c>
      <c r="P24" s="197">
        <v>0</v>
      </c>
      <c r="Q24" s="197">
        <v>0</v>
      </c>
      <c r="R24" s="198">
        <f t="shared" si="9"/>
        <v>-6827.2896595980101</v>
      </c>
    </row>
    <row r="25" spans="1:18" x14ac:dyDescent="0.25">
      <c r="A25" s="150">
        <v>6</v>
      </c>
      <c r="B25" s="189">
        <f t="shared" si="4"/>
        <v>43983</v>
      </c>
      <c r="C25" s="190">
        <v>44015</v>
      </c>
      <c r="D25" s="190">
        <v>44036</v>
      </c>
      <c r="E25" s="54" t="s">
        <v>21</v>
      </c>
      <c r="F25" s="150">
        <v>9</v>
      </c>
      <c r="G25" s="192">
        <v>3504</v>
      </c>
      <c r="H25" s="193">
        <f t="shared" si="5"/>
        <v>3.32</v>
      </c>
      <c r="I25" s="193">
        <f t="shared" si="1"/>
        <v>1.0507166145491278</v>
      </c>
      <c r="J25" s="194">
        <f t="shared" si="2"/>
        <v>3681.7110173801439</v>
      </c>
      <c r="K25" s="195">
        <f t="shared" si="6"/>
        <v>11633.279999999999</v>
      </c>
      <c r="L25" s="200">
        <f t="shared" si="3"/>
        <v>-7951.568982619855</v>
      </c>
      <c r="M25" s="197">
        <f t="shared" si="7"/>
        <v>-266.5082991497847</v>
      </c>
      <c r="N25" s="198">
        <f t="shared" si="8"/>
        <v>-8218.0772817696397</v>
      </c>
      <c r="O25" s="197">
        <v>0</v>
      </c>
      <c r="P25" s="197">
        <v>0</v>
      </c>
      <c r="Q25" s="197">
        <v>0</v>
      </c>
      <c r="R25" s="198">
        <f t="shared" si="9"/>
        <v>-8218.0772817696397</v>
      </c>
    </row>
    <row r="26" spans="1:18" x14ac:dyDescent="0.25">
      <c r="A26" s="113">
        <v>7</v>
      </c>
      <c r="B26" s="189">
        <f t="shared" si="4"/>
        <v>44013</v>
      </c>
      <c r="C26" s="190">
        <v>44048</v>
      </c>
      <c r="D26" s="190">
        <v>44067</v>
      </c>
      <c r="E26" s="54" t="s">
        <v>21</v>
      </c>
      <c r="F26" s="150">
        <v>9</v>
      </c>
      <c r="G26" s="192">
        <v>3724</v>
      </c>
      <c r="H26" s="193">
        <f t="shared" si="5"/>
        <v>3.32</v>
      </c>
      <c r="I26" s="193">
        <f t="shared" si="1"/>
        <v>1.0507166145491278</v>
      </c>
      <c r="J26" s="194">
        <f t="shared" si="2"/>
        <v>3912.8686725809521</v>
      </c>
      <c r="K26" s="201">
        <f t="shared" si="6"/>
        <v>12363.68</v>
      </c>
      <c r="L26" s="200">
        <f t="shared" si="3"/>
        <v>-8450.8113274190473</v>
      </c>
      <c r="M26" s="197">
        <f t="shared" si="7"/>
        <v>-283.24112615119816</v>
      </c>
      <c r="N26" s="198">
        <f t="shared" si="8"/>
        <v>-8734.0524535702461</v>
      </c>
      <c r="O26" s="197">
        <v>0</v>
      </c>
      <c r="P26" s="197">
        <v>0</v>
      </c>
      <c r="Q26" s="197">
        <v>0</v>
      </c>
      <c r="R26" s="198">
        <f t="shared" si="9"/>
        <v>-8734.0524535702461</v>
      </c>
    </row>
    <row r="27" spans="1:18" x14ac:dyDescent="0.25">
      <c r="A27" s="150">
        <v>8</v>
      </c>
      <c r="B27" s="189">
        <f t="shared" si="4"/>
        <v>44044</v>
      </c>
      <c r="C27" s="190">
        <v>44077</v>
      </c>
      <c r="D27" s="190">
        <v>44098</v>
      </c>
      <c r="E27" s="54" t="s">
        <v>21</v>
      </c>
      <c r="F27" s="150">
        <v>9</v>
      </c>
      <c r="G27" s="192">
        <v>3873</v>
      </c>
      <c r="H27" s="193">
        <f t="shared" si="5"/>
        <v>3.32</v>
      </c>
      <c r="I27" s="193">
        <f t="shared" si="1"/>
        <v>1.0507166145491278</v>
      </c>
      <c r="J27" s="194">
        <f t="shared" si="2"/>
        <v>4069.4254481487719</v>
      </c>
      <c r="K27" s="201">
        <f t="shared" si="6"/>
        <v>12858.359999999999</v>
      </c>
      <c r="L27" s="200">
        <f t="shared" si="3"/>
        <v>-8788.9345518512273</v>
      </c>
      <c r="M27" s="197">
        <f t="shared" si="7"/>
        <v>-294.57381352942815</v>
      </c>
      <c r="N27" s="198">
        <f t="shared" si="8"/>
        <v>-9083.508365380656</v>
      </c>
      <c r="O27" s="197">
        <v>0</v>
      </c>
      <c r="P27" s="197">
        <v>0</v>
      </c>
      <c r="Q27" s="197">
        <v>0</v>
      </c>
      <c r="R27" s="198">
        <f t="shared" si="9"/>
        <v>-9083.508365380656</v>
      </c>
    </row>
    <row r="28" spans="1:18" x14ac:dyDescent="0.25">
      <c r="A28" s="150">
        <v>9</v>
      </c>
      <c r="B28" s="189">
        <f t="shared" si="4"/>
        <v>44075</v>
      </c>
      <c r="C28" s="190">
        <v>44109</v>
      </c>
      <c r="D28" s="190">
        <v>44130</v>
      </c>
      <c r="E28" s="54" t="s">
        <v>21</v>
      </c>
      <c r="F28" s="150">
        <v>9</v>
      </c>
      <c r="G28" s="192">
        <v>3349</v>
      </c>
      <c r="H28" s="193">
        <f t="shared" si="5"/>
        <v>3.32</v>
      </c>
      <c r="I28" s="193">
        <f t="shared" si="1"/>
        <v>1.0507166145491278</v>
      </c>
      <c r="J28" s="194">
        <f t="shared" si="2"/>
        <v>3518.849942125029</v>
      </c>
      <c r="K28" s="201">
        <f t="shared" si="6"/>
        <v>11118.68</v>
      </c>
      <c r="L28" s="200">
        <f t="shared" si="3"/>
        <v>-7599.8300578749713</v>
      </c>
      <c r="M28" s="197">
        <f t="shared" si="7"/>
        <v>-254.71926194424347</v>
      </c>
      <c r="N28" s="198">
        <f t="shared" si="8"/>
        <v>-7854.5493198192144</v>
      </c>
      <c r="O28" s="197">
        <v>0</v>
      </c>
      <c r="P28" s="197">
        <v>0</v>
      </c>
      <c r="Q28" s="197">
        <v>0</v>
      </c>
      <c r="R28" s="198">
        <f t="shared" si="9"/>
        <v>-7854.5493198192144</v>
      </c>
    </row>
    <row r="29" spans="1:18" x14ac:dyDescent="0.25">
      <c r="A29" s="113">
        <v>10</v>
      </c>
      <c r="B29" s="189">
        <f t="shared" si="4"/>
        <v>44105</v>
      </c>
      <c r="C29" s="190">
        <v>44139</v>
      </c>
      <c r="D29" s="190">
        <v>44159</v>
      </c>
      <c r="E29" s="54" t="s">
        <v>21</v>
      </c>
      <c r="F29" s="150">
        <v>9</v>
      </c>
      <c r="G29" s="192">
        <v>2789</v>
      </c>
      <c r="H29" s="193">
        <f t="shared" si="5"/>
        <v>3.32</v>
      </c>
      <c r="I29" s="193">
        <f t="shared" si="1"/>
        <v>1.0507166145491278</v>
      </c>
      <c r="J29" s="194">
        <f t="shared" si="2"/>
        <v>2930.4486379775176</v>
      </c>
      <c r="K29" s="201">
        <f t="shared" si="6"/>
        <v>9259.48</v>
      </c>
      <c r="L29" s="200">
        <f t="shared" si="3"/>
        <v>-6329.0313620224824</v>
      </c>
      <c r="M29" s="197">
        <f t="shared" si="7"/>
        <v>-212.12661139519111</v>
      </c>
      <c r="N29" s="198">
        <f t="shared" si="8"/>
        <v>-6541.1579734176739</v>
      </c>
      <c r="O29" s="197">
        <v>0</v>
      </c>
      <c r="P29" s="197">
        <v>0</v>
      </c>
      <c r="Q29" s="197">
        <v>0</v>
      </c>
      <c r="R29" s="198">
        <f t="shared" si="9"/>
        <v>-6541.1579734176739</v>
      </c>
    </row>
    <row r="30" spans="1:18" x14ac:dyDescent="0.25">
      <c r="A30" s="150">
        <v>11</v>
      </c>
      <c r="B30" s="189">
        <f t="shared" si="4"/>
        <v>44136</v>
      </c>
      <c r="C30" s="190">
        <v>44168</v>
      </c>
      <c r="D30" s="190">
        <v>44189</v>
      </c>
      <c r="E30" s="54" t="s">
        <v>21</v>
      </c>
      <c r="F30" s="150">
        <v>9</v>
      </c>
      <c r="G30" s="192">
        <v>2382</v>
      </c>
      <c r="H30" s="193">
        <f t="shared" si="5"/>
        <v>3.32</v>
      </c>
      <c r="I30" s="193">
        <f t="shared" si="1"/>
        <v>1.0507166145491278</v>
      </c>
      <c r="J30" s="194">
        <f t="shared" si="2"/>
        <v>2502.8069758560223</v>
      </c>
      <c r="K30" s="201">
        <f t="shared" si="6"/>
        <v>7908.24</v>
      </c>
      <c r="L30" s="200">
        <f t="shared" si="3"/>
        <v>-5405.4330241439775</v>
      </c>
      <c r="M30" s="197">
        <f t="shared" si="7"/>
        <v>-181.17088144257627</v>
      </c>
      <c r="N30" s="198">
        <f t="shared" si="8"/>
        <v>-5586.603905586554</v>
      </c>
      <c r="O30" s="197">
        <v>0</v>
      </c>
      <c r="P30" s="197">
        <v>0</v>
      </c>
      <c r="Q30" s="197">
        <v>0</v>
      </c>
      <c r="R30" s="198">
        <f t="shared" si="9"/>
        <v>-5586.603905586554</v>
      </c>
    </row>
    <row r="31" spans="1:18" x14ac:dyDescent="0.25">
      <c r="A31" s="150">
        <v>12</v>
      </c>
      <c r="B31" s="189">
        <f t="shared" si="4"/>
        <v>44166</v>
      </c>
      <c r="C31" s="202">
        <v>44202</v>
      </c>
      <c r="D31" s="203">
        <v>44221</v>
      </c>
      <c r="E31" s="54" t="s">
        <v>21</v>
      </c>
      <c r="F31" s="150">
        <v>9</v>
      </c>
      <c r="G31" s="204">
        <v>2513</v>
      </c>
      <c r="H31" s="205">
        <f t="shared" si="5"/>
        <v>3.32</v>
      </c>
      <c r="I31" s="205">
        <f t="shared" si="1"/>
        <v>1.0507166145491278</v>
      </c>
      <c r="J31" s="206">
        <f t="shared" si="2"/>
        <v>2640.4508523619584</v>
      </c>
      <c r="K31" s="207">
        <f t="shared" si="6"/>
        <v>8343.16</v>
      </c>
      <c r="L31" s="208">
        <f t="shared" si="3"/>
        <v>-5702.709147638041</v>
      </c>
      <c r="M31" s="197">
        <f t="shared" si="7"/>
        <v>-191.13451933887245</v>
      </c>
      <c r="N31" s="198">
        <f t="shared" si="8"/>
        <v>-5893.8436669769135</v>
      </c>
      <c r="O31" s="197">
        <v>0</v>
      </c>
      <c r="P31" s="197">
        <v>0</v>
      </c>
      <c r="Q31" s="197">
        <v>0</v>
      </c>
      <c r="R31" s="198">
        <f t="shared" si="9"/>
        <v>-5893.8436669769135</v>
      </c>
    </row>
    <row r="32" spans="1:18" x14ac:dyDescent="0.25">
      <c r="A32" s="113">
        <v>1</v>
      </c>
      <c r="B32" s="209">
        <f t="shared" si="4"/>
        <v>43831</v>
      </c>
      <c r="C32" s="210">
        <f t="shared" ref="C32:D43" si="10">+C20</f>
        <v>43866</v>
      </c>
      <c r="D32" s="210">
        <f t="shared" si="10"/>
        <v>43885</v>
      </c>
      <c r="E32" s="211" t="s">
        <v>22</v>
      </c>
      <c r="F32" s="212">
        <v>9</v>
      </c>
      <c r="G32" s="192">
        <v>2664</v>
      </c>
      <c r="H32" s="193">
        <f t="shared" si="5"/>
        <v>3.32</v>
      </c>
      <c r="I32" s="193">
        <f t="shared" si="1"/>
        <v>1.0507166145491278</v>
      </c>
      <c r="J32" s="194">
        <f t="shared" si="2"/>
        <v>2799.1090611588766</v>
      </c>
      <c r="K32" s="195">
        <f t="shared" si="6"/>
        <v>8844.48</v>
      </c>
      <c r="L32" s="196">
        <f t="shared" si="3"/>
        <v>-6045.3709388411226</v>
      </c>
      <c r="M32" s="197">
        <f t="shared" si="7"/>
        <v>-202.61932332620623</v>
      </c>
      <c r="N32" s="198">
        <f t="shared" si="8"/>
        <v>-6247.9902621673291</v>
      </c>
      <c r="O32" s="197">
        <v>0</v>
      </c>
      <c r="P32" s="197">
        <v>0</v>
      </c>
      <c r="Q32" s="197">
        <v>0</v>
      </c>
      <c r="R32" s="198">
        <f t="shared" si="9"/>
        <v>-6247.9902621673291</v>
      </c>
    </row>
    <row r="33" spans="1:18" x14ac:dyDescent="0.25">
      <c r="A33" s="150">
        <v>2</v>
      </c>
      <c r="B33" s="189">
        <f t="shared" si="4"/>
        <v>43862</v>
      </c>
      <c r="C33" s="213">
        <f t="shared" si="10"/>
        <v>43894</v>
      </c>
      <c r="D33" s="213">
        <f t="shared" si="10"/>
        <v>43914</v>
      </c>
      <c r="E33" s="199" t="s">
        <v>22</v>
      </c>
      <c r="F33" s="150">
        <v>9</v>
      </c>
      <c r="G33" s="192">
        <v>2798</v>
      </c>
      <c r="H33" s="193">
        <f t="shared" si="5"/>
        <v>3.32</v>
      </c>
      <c r="I33" s="193">
        <f t="shared" si="1"/>
        <v>1.0507166145491278</v>
      </c>
      <c r="J33" s="194">
        <f t="shared" si="2"/>
        <v>2939.9050875084595</v>
      </c>
      <c r="K33" s="195">
        <f t="shared" si="6"/>
        <v>9289.3599999999988</v>
      </c>
      <c r="L33" s="196">
        <f t="shared" si="3"/>
        <v>-6349.4549124915393</v>
      </c>
      <c r="M33" s="197">
        <f t="shared" si="7"/>
        <v>-212.81113613615801</v>
      </c>
      <c r="N33" s="198">
        <f t="shared" si="8"/>
        <v>-6562.2660486276973</v>
      </c>
      <c r="O33" s="197">
        <v>0</v>
      </c>
      <c r="P33" s="197">
        <v>0</v>
      </c>
      <c r="Q33" s="197">
        <v>0</v>
      </c>
      <c r="R33" s="198">
        <f t="shared" si="9"/>
        <v>-6562.2660486276973</v>
      </c>
    </row>
    <row r="34" spans="1:18" x14ac:dyDescent="0.25">
      <c r="A34" s="150">
        <v>3</v>
      </c>
      <c r="B34" s="189">
        <f t="shared" si="4"/>
        <v>43891</v>
      </c>
      <c r="C34" s="213">
        <f t="shared" si="10"/>
        <v>43924</v>
      </c>
      <c r="D34" s="213">
        <f t="shared" si="10"/>
        <v>43945</v>
      </c>
      <c r="E34" s="199" t="s">
        <v>22</v>
      </c>
      <c r="F34" s="150">
        <v>9</v>
      </c>
      <c r="G34" s="192">
        <v>2422</v>
      </c>
      <c r="H34" s="193">
        <f t="shared" si="5"/>
        <v>3.32</v>
      </c>
      <c r="I34" s="193">
        <f t="shared" si="1"/>
        <v>1.0507166145491278</v>
      </c>
      <c r="J34" s="194">
        <f t="shared" si="2"/>
        <v>2544.8356404379874</v>
      </c>
      <c r="K34" s="195">
        <f t="shared" ref="K34:K93" si="11">+$G34*H34</f>
        <v>8041.04</v>
      </c>
      <c r="L34" s="196">
        <f t="shared" si="3"/>
        <v>-5496.2043595620125</v>
      </c>
      <c r="M34" s="197">
        <f t="shared" si="7"/>
        <v>-184.21321362465144</v>
      </c>
      <c r="N34" s="198">
        <f t="shared" si="8"/>
        <v>-5680.4175731866644</v>
      </c>
      <c r="O34" s="197">
        <v>0</v>
      </c>
      <c r="P34" s="197">
        <v>0</v>
      </c>
      <c r="Q34" s="197">
        <v>0</v>
      </c>
      <c r="R34" s="198">
        <f t="shared" si="9"/>
        <v>-5680.4175731866644</v>
      </c>
    </row>
    <row r="35" spans="1:18" x14ac:dyDescent="0.25">
      <c r="A35" s="113">
        <v>4</v>
      </c>
      <c r="B35" s="189">
        <f t="shared" si="4"/>
        <v>43922</v>
      </c>
      <c r="C35" s="213">
        <f t="shared" si="10"/>
        <v>43956</v>
      </c>
      <c r="D35" s="213">
        <f t="shared" si="10"/>
        <v>43976</v>
      </c>
      <c r="E35" s="199" t="s">
        <v>22</v>
      </c>
      <c r="F35" s="150">
        <v>9</v>
      </c>
      <c r="G35" s="192">
        <v>2569</v>
      </c>
      <c r="H35" s="193">
        <f t="shared" si="5"/>
        <v>3.32</v>
      </c>
      <c r="I35" s="193">
        <f t="shared" si="1"/>
        <v>1.0507166145491278</v>
      </c>
      <c r="J35" s="194">
        <f t="shared" si="2"/>
        <v>2699.2909827767094</v>
      </c>
      <c r="K35" s="195">
        <f t="shared" si="11"/>
        <v>8529.08</v>
      </c>
      <c r="L35" s="196">
        <f t="shared" ref="L35:L57" si="12">+J35-K35</f>
        <v>-5829.789017223291</v>
      </c>
      <c r="M35" s="197">
        <f t="shared" si="7"/>
        <v>-195.39378439377768</v>
      </c>
      <c r="N35" s="198">
        <f t="shared" si="8"/>
        <v>-6025.1828016170684</v>
      </c>
      <c r="O35" s="197">
        <v>0</v>
      </c>
      <c r="P35" s="197">
        <v>0</v>
      </c>
      <c r="Q35" s="197">
        <v>0</v>
      </c>
      <c r="R35" s="198">
        <f t="shared" si="9"/>
        <v>-6025.1828016170684</v>
      </c>
    </row>
    <row r="36" spans="1:18" x14ac:dyDescent="0.25">
      <c r="A36" s="150">
        <v>5</v>
      </c>
      <c r="B36" s="189">
        <f t="shared" si="4"/>
        <v>43952</v>
      </c>
      <c r="C36" s="213">
        <f t="shared" si="10"/>
        <v>43985</v>
      </c>
      <c r="D36" s="213">
        <f t="shared" si="10"/>
        <v>44006</v>
      </c>
      <c r="E36" s="54" t="s">
        <v>22</v>
      </c>
      <c r="F36" s="150">
        <v>9</v>
      </c>
      <c r="G36" s="192">
        <v>2598</v>
      </c>
      <c r="H36" s="193">
        <f t="shared" si="5"/>
        <v>3.32</v>
      </c>
      <c r="I36" s="193">
        <f t="shared" si="1"/>
        <v>1.0507166145491278</v>
      </c>
      <c r="J36" s="194">
        <f t="shared" si="2"/>
        <v>2729.7617645986338</v>
      </c>
      <c r="K36" s="195">
        <f t="shared" si="11"/>
        <v>8625.3599999999988</v>
      </c>
      <c r="L36" s="196">
        <f t="shared" si="12"/>
        <v>-5895.5982354013649</v>
      </c>
      <c r="M36" s="197">
        <f t="shared" si="7"/>
        <v>-197.59947522578216</v>
      </c>
      <c r="N36" s="198">
        <f t="shared" si="8"/>
        <v>-6093.197710627147</v>
      </c>
      <c r="O36" s="197">
        <v>0</v>
      </c>
      <c r="P36" s="197">
        <v>0</v>
      </c>
      <c r="Q36" s="197">
        <v>0</v>
      </c>
      <c r="R36" s="198">
        <f t="shared" si="9"/>
        <v>-6093.197710627147</v>
      </c>
    </row>
    <row r="37" spans="1:18" x14ac:dyDescent="0.25">
      <c r="A37" s="150">
        <v>6</v>
      </c>
      <c r="B37" s="189">
        <f t="shared" si="4"/>
        <v>43983</v>
      </c>
      <c r="C37" s="213">
        <f t="shared" si="10"/>
        <v>44015</v>
      </c>
      <c r="D37" s="213">
        <f t="shared" si="10"/>
        <v>44036</v>
      </c>
      <c r="E37" s="54" t="s">
        <v>22</v>
      </c>
      <c r="F37" s="150">
        <v>9</v>
      </c>
      <c r="G37" s="192">
        <v>3167</v>
      </c>
      <c r="H37" s="193">
        <f t="shared" si="5"/>
        <v>3.32</v>
      </c>
      <c r="I37" s="193">
        <f t="shared" si="1"/>
        <v>1.0507166145491278</v>
      </c>
      <c r="J37" s="194">
        <f t="shared" si="2"/>
        <v>3327.6195182770875</v>
      </c>
      <c r="K37" s="195">
        <f t="shared" si="11"/>
        <v>10514.439999999999</v>
      </c>
      <c r="L37" s="200">
        <f t="shared" si="12"/>
        <v>-7186.8204817229107</v>
      </c>
      <c r="M37" s="197">
        <f t="shared" si="7"/>
        <v>-240.87665051580146</v>
      </c>
      <c r="N37" s="198">
        <f t="shared" si="8"/>
        <v>-7427.6971322387126</v>
      </c>
      <c r="O37" s="197">
        <v>0</v>
      </c>
      <c r="P37" s="197">
        <v>0</v>
      </c>
      <c r="Q37" s="197">
        <v>0</v>
      </c>
      <c r="R37" s="198">
        <f t="shared" si="9"/>
        <v>-7427.6971322387126</v>
      </c>
    </row>
    <row r="38" spans="1:18" x14ac:dyDescent="0.25">
      <c r="A38" s="113">
        <v>7</v>
      </c>
      <c r="B38" s="189">
        <f t="shared" si="4"/>
        <v>44013</v>
      </c>
      <c r="C38" s="213">
        <f t="shared" si="10"/>
        <v>44048</v>
      </c>
      <c r="D38" s="213">
        <f t="shared" si="10"/>
        <v>44067</v>
      </c>
      <c r="E38" s="54" t="s">
        <v>22</v>
      </c>
      <c r="F38" s="150">
        <v>9</v>
      </c>
      <c r="G38" s="192">
        <v>3376</v>
      </c>
      <c r="H38" s="193">
        <f t="shared" si="5"/>
        <v>3.32</v>
      </c>
      <c r="I38" s="193">
        <f t="shared" si="1"/>
        <v>1.0507166145491278</v>
      </c>
      <c r="J38" s="194">
        <f t="shared" si="2"/>
        <v>3547.2192907178555</v>
      </c>
      <c r="K38" s="201">
        <f t="shared" si="11"/>
        <v>11208.32</v>
      </c>
      <c r="L38" s="200">
        <f t="shared" si="12"/>
        <v>-7661.1007092821437</v>
      </c>
      <c r="M38" s="197">
        <f t="shared" si="7"/>
        <v>-256.77283616714419</v>
      </c>
      <c r="N38" s="198">
        <f t="shared" si="8"/>
        <v>-7917.873545449288</v>
      </c>
      <c r="O38" s="197">
        <v>0</v>
      </c>
      <c r="P38" s="197">
        <v>0</v>
      </c>
      <c r="Q38" s="197">
        <v>0</v>
      </c>
      <c r="R38" s="198">
        <f t="shared" si="9"/>
        <v>-7917.873545449288</v>
      </c>
    </row>
    <row r="39" spans="1:18" x14ac:dyDescent="0.25">
      <c r="A39" s="150">
        <v>8</v>
      </c>
      <c r="B39" s="189">
        <f t="shared" si="4"/>
        <v>44044</v>
      </c>
      <c r="C39" s="213">
        <f t="shared" si="10"/>
        <v>44077</v>
      </c>
      <c r="D39" s="213">
        <f t="shared" si="10"/>
        <v>44098</v>
      </c>
      <c r="E39" s="54" t="s">
        <v>22</v>
      </c>
      <c r="F39" s="150">
        <v>9</v>
      </c>
      <c r="G39" s="192">
        <v>3459</v>
      </c>
      <c r="H39" s="193">
        <f t="shared" si="5"/>
        <v>3.32</v>
      </c>
      <c r="I39" s="193">
        <f t="shared" si="1"/>
        <v>1.0507166145491278</v>
      </c>
      <c r="J39" s="194">
        <f t="shared" si="2"/>
        <v>3634.4287697254331</v>
      </c>
      <c r="K39" s="201">
        <f t="shared" si="11"/>
        <v>11483.88</v>
      </c>
      <c r="L39" s="200">
        <f t="shared" si="12"/>
        <v>-7849.4512302745661</v>
      </c>
      <c r="M39" s="197">
        <f t="shared" si="7"/>
        <v>-263.0856754449502</v>
      </c>
      <c r="N39" s="198">
        <f t="shared" si="8"/>
        <v>-8112.5369057195167</v>
      </c>
      <c r="O39" s="197">
        <v>0</v>
      </c>
      <c r="P39" s="197">
        <v>0</v>
      </c>
      <c r="Q39" s="197">
        <v>0</v>
      </c>
      <c r="R39" s="198">
        <f t="shared" si="9"/>
        <v>-8112.5369057195167</v>
      </c>
    </row>
    <row r="40" spans="1:18" x14ac:dyDescent="0.25">
      <c r="A40" s="150">
        <v>9</v>
      </c>
      <c r="B40" s="189">
        <f t="shared" si="4"/>
        <v>44075</v>
      </c>
      <c r="C40" s="213">
        <f t="shared" si="10"/>
        <v>44109</v>
      </c>
      <c r="D40" s="213">
        <f t="shared" si="10"/>
        <v>44130</v>
      </c>
      <c r="E40" s="54" t="s">
        <v>22</v>
      </c>
      <c r="F40" s="150">
        <v>9</v>
      </c>
      <c r="G40" s="192">
        <v>3173</v>
      </c>
      <c r="H40" s="193">
        <f t="shared" si="5"/>
        <v>3.32</v>
      </c>
      <c r="I40" s="193">
        <f t="shared" si="1"/>
        <v>1.0507166145491278</v>
      </c>
      <c r="J40" s="194">
        <f t="shared" si="2"/>
        <v>3333.9238179643826</v>
      </c>
      <c r="K40" s="201">
        <f t="shared" si="11"/>
        <v>10534.359999999999</v>
      </c>
      <c r="L40" s="200">
        <f t="shared" si="12"/>
        <v>-7200.4361820356162</v>
      </c>
      <c r="M40" s="197">
        <f t="shared" si="7"/>
        <v>-241.33300034311273</v>
      </c>
      <c r="N40" s="198">
        <f t="shared" si="8"/>
        <v>-7441.7691823787291</v>
      </c>
      <c r="O40" s="197">
        <v>0</v>
      </c>
      <c r="P40" s="197">
        <v>0</v>
      </c>
      <c r="Q40" s="197">
        <v>0</v>
      </c>
      <c r="R40" s="198">
        <f t="shared" si="9"/>
        <v>-7441.7691823787291</v>
      </c>
    </row>
    <row r="41" spans="1:18" x14ac:dyDescent="0.25">
      <c r="A41" s="113">
        <v>10</v>
      </c>
      <c r="B41" s="189">
        <f t="shared" si="4"/>
        <v>44105</v>
      </c>
      <c r="C41" s="213">
        <f t="shared" si="10"/>
        <v>44139</v>
      </c>
      <c r="D41" s="213">
        <f t="shared" si="10"/>
        <v>44159</v>
      </c>
      <c r="E41" s="54" t="s">
        <v>22</v>
      </c>
      <c r="F41" s="150">
        <v>9</v>
      </c>
      <c r="G41" s="192">
        <v>2561</v>
      </c>
      <c r="H41" s="193">
        <f t="shared" si="5"/>
        <v>3.32</v>
      </c>
      <c r="I41" s="193">
        <f t="shared" si="1"/>
        <v>1.0507166145491278</v>
      </c>
      <c r="J41" s="194">
        <f t="shared" si="2"/>
        <v>2690.8852498603164</v>
      </c>
      <c r="K41" s="201">
        <f t="shared" si="11"/>
        <v>8502.52</v>
      </c>
      <c r="L41" s="200">
        <f t="shared" si="12"/>
        <v>-5811.634750139684</v>
      </c>
      <c r="M41" s="197">
        <f t="shared" si="7"/>
        <v>-194.78531795736265</v>
      </c>
      <c r="N41" s="198">
        <f t="shared" si="8"/>
        <v>-6006.4200680970471</v>
      </c>
      <c r="O41" s="197">
        <v>0</v>
      </c>
      <c r="P41" s="197">
        <v>0</v>
      </c>
      <c r="Q41" s="197">
        <v>0</v>
      </c>
      <c r="R41" s="198">
        <f t="shared" si="9"/>
        <v>-6006.4200680970471</v>
      </c>
    </row>
    <row r="42" spans="1:18" x14ac:dyDescent="0.25">
      <c r="A42" s="150">
        <v>11</v>
      </c>
      <c r="B42" s="189">
        <f t="shared" si="4"/>
        <v>44136</v>
      </c>
      <c r="C42" s="213">
        <f t="shared" si="10"/>
        <v>44168</v>
      </c>
      <c r="D42" s="213">
        <f t="shared" si="10"/>
        <v>44189</v>
      </c>
      <c r="E42" s="54" t="s">
        <v>22</v>
      </c>
      <c r="F42" s="150">
        <v>9</v>
      </c>
      <c r="G42" s="192">
        <v>2357</v>
      </c>
      <c r="H42" s="193">
        <f t="shared" si="5"/>
        <v>3.32</v>
      </c>
      <c r="I42" s="193">
        <f t="shared" si="1"/>
        <v>1.0507166145491278</v>
      </c>
      <c r="J42" s="194">
        <f t="shared" si="2"/>
        <v>2476.5390604922941</v>
      </c>
      <c r="K42" s="201">
        <f t="shared" si="11"/>
        <v>7825.24</v>
      </c>
      <c r="L42" s="200">
        <f t="shared" si="12"/>
        <v>-5348.7009395077057</v>
      </c>
      <c r="M42" s="197">
        <f t="shared" si="7"/>
        <v>-179.26942382877931</v>
      </c>
      <c r="N42" s="198">
        <f t="shared" si="8"/>
        <v>-5527.9703633364852</v>
      </c>
      <c r="O42" s="197">
        <v>0</v>
      </c>
      <c r="P42" s="197">
        <v>0</v>
      </c>
      <c r="Q42" s="197">
        <v>0</v>
      </c>
      <c r="R42" s="198">
        <f t="shared" si="9"/>
        <v>-5527.9703633364852</v>
      </c>
    </row>
    <row r="43" spans="1:18" x14ac:dyDescent="0.25">
      <c r="A43" s="150">
        <v>12</v>
      </c>
      <c r="B43" s="189">
        <f t="shared" si="4"/>
        <v>44166</v>
      </c>
      <c r="C43" s="213">
        <f t="shared" si="10"/>
        <v>44202</v>
      </c>
      <c r="D43" s="213">
        <f t="shared" si="10"/>
        <v>44221</v>
      </c>
      <c r="E43" s="54" t="s">
        <v>22</v>
      </c>
      <c r="F43" s="150">
        <v>9</v>
      </c>
      <c r="G43" s="204">
        <v>2731</v>
      </c>
      <c r="H43" s="205">
        <f t="shared" si="5"/>
        <v>3.32</v>
      </c>
      <c r="I43" s="205">
        <f t="shared" si="1"/>
        <v>1.0507166145491278</v>
      </c>
      <c r="J43" s="206">
        <f t="shared" si="2"/>
        <v>2869.5070743336678</v>
      </c>
      <c r="K43" s="207">
        <f t="shared" si="11"/>
        <v>9066.92</v>
      </c>
      <c r="L43" s="208">
        <f t="shared" si="12"/>
        <v>-6197.4129256663327</v>
      </c>
      <c r="M43" s="197">
        <f t="shared" si="7"/>
        <v>-207.71522973118209</v>
      </c>
      <c r="N43" s="198">
        <f t="shared" si="8"/>
        <v>-6405.128155397515</v>
      </c>
      <c r="O43" s="197">
        <v>0</v>
      </c>
      <c r="P43" s="197">
        <v>0</v>
      </c>
      <c r="Q43" s="197">
        <v>0</v>
      </c>
      <c r="R43" s="198">
        <f t="shared" si="9"/>
        <v>-6405.128155397515</v>
      </c>
    </row>
    <row r="44" spans="1:18" x14ac:dyDescent="0.25">
      <c r="A44" s="113">
        <v>1</v>
      </c>
      <c r="B44" s="209">
        <f t="shared" ref="B44:B55" si="13">DATE($R$1,A44,1)</f>
        <v>43831</v>
      </c>
      <c r="C44" s="210">
        <f t="shared" ref="C44:D55" si="14">+C32</f>
        <v>43866</v>
      </c>
      <c r="D44" s="210">
        <f t="shared" si="14"/>
        <v>43885</v>
      </c>
      <c r="E44" s="211" t="s">
        <v>83</v>
      </c>
      <c r="F44" s="212">
        <v>9</v>
      </c>
      <c r="G44" s="192">
        <v>145</v>
      </c>
      <c r="H44" s="193">
        <f t="shared" si="5"/>
        <v>3.32</v>
      </c>
      <c r="I44" s="193">
        <f t="shared" si="1"/>
        <v>1.0507166145491278</v>
      </c>
      <c r="J44" s="197">
        <f t="shared" ref="J44:J55" si="15">+$G44*I44</f>
        <v>152.35390910962354</v>
      </c>
      <c r="K44" s="201">
        <f t="shared" ref="K44:K55" si="16">+$G44*H44</f>
        <v>481.4</v>
      </c>
      <c r="L44" s="200">
        <f t="shared" ref="L44:L55" si="17">+J44-K44</f>
        <v>-329.04609089037643</v>
      </c>
      <c r="M44" s="197">
        <f t="shared" si="7"/>
        <v>-11.028454160022484</v>
      </c>
      <c r="N44" s="198">
        <f t="shared" si="8"/>
        <v>-340.07454505039891</v>
      </c>
      <c r="O44" s="197">
        <v>0</v>
      </c>
      <c r="P44" s="197">
        <v>0</v>
      </c>
      <c r="Q44" s="197">
        <v>0</v>
      </c>
      <c r="R44" s="198">
        <f t="shared" si="9"/>
        <v>-340.07454505039891</v>
      </c>
    </row>
    <row r="45" spans="1:18" x14ac:dyDescent="0.25">
      <c r="A45" s="150">
        <v>2</v>
      </c>
      <c r="B45" s="189">
        <f t="shared" si="13"/>
        <v>43862</v>
      </c>
      <c r="C45" s="213">
        <f t="shared" si="14"/>
        <v>43894</v>
      </c>
      <c r="D45" s="213">
        <f t="shared" si="14"/>
        <v>43914</v>
      </c>
      <c r="E45" s="199" t="s">
        <v>83</v>
      </c>
      <c r="F45" s="150">
        <v>9</v>
      </c>
      <c r="G45" s="192">
        <v>146</v>
      </c>
      <c r="H45" s="193">
        <f t="shared" si="5"/>
        <v>3.32</v>
      </c>
      <c r="I45" s="193">
        <f t="shared" si="1"/>
        <v>1.0507166145491278</v>
      </c>
      <c r="J45" s="197">
        <f t="shared" si="15"/>
        <v>153.40462572417266</v>
      </c>
      <c r="K45" s="201">
        <f t="shared" si="16"/>
        <v>484.71999999999997</v>
      </c>
      <c r="L45" s="200">
        <f t="shared" si="17"/>
        <v>-331.31537427582731</v>
      </c>
      <c r="M45" s="197">
        <f t="shared" si="7"/>
        <v>-11.104512464574364</v>
      </c>
      <c r="N45" s="198">
        <f t="shared" si="8"/>
        <v>-342.41988674040169</v>
      </c>
      <c r="O45" s="197">
        <v>0</v>
      </c>
      <c r="P45" s="197">
        <v>0</v>
      </c>
      <c r="Q45" s="197">
        <v>0</v>
      </c>
      <c r="R45" s="198">
        <f t="shared" si="9"/>
        <v>-342.41988674040169</v>
      </c>
    </row>
    <row r="46" spans="1:18" x14ac:dyDescent="0.25">
      <c r="A46" s="150">
        <v>3</v>
      </c>
      <c r="B46" s="189">
        <f t="shared" si="13"/>
        <v>43891</v>
      </c>
      <c r="C46" s="213">
        <f t="shared" si="14"/>
        <v>43924</v>
      </c>
      <c r="D46" s="213">
        <f t="shared" si="14"/>
        <v>43945</v>
      </c>
      <c r="E46" s="199" t="s">
        <v>83</v>
      </c>
      <c r="F46" s="150">
        <v>9</v>
      </c>
      <c r="G46" s="192">
        <v>97</v>
      </c>
      <c r="H46" s="193">
        <f t="shared" si="5"/>
        <v>3.32</v>
      </c>
      <c r="I46" s="193">
        <f t="shared" si="1"/>
        <v>1.0507166145491278</v>
      </c>
      <c r="J46" s="197">
        <f t="shared" si="15"/>
        <v>101.91951161126539</v>
      </c>
      <c r="K46" s="201">
        <f t="shared" si="16"/>
        <v>322.03999999999996</v>
      </c>
      <c r="L46" s="200">
        <f t="shared" si="17"/>
        <v>-220.12048838873457</v>
      </c>
      <c r="M46" s="197">
        <f t="shared" si="7"/>
        <v>-7.3776555415322829</v>
      </c>
      <c r="N46" s="198">
        <f t="shared" si="8"/>
        <v>-227.49814393026685</v>
      </c>
      <c r="O46" s="197">
        <v>0</v>
      </c>
      <c r="P46" s="197">
        <v>0</v>
      </c>
      <c r="Q46" s="197">
        <v>0</v>
      </c>
      <c r="R46" s="198">
        <f t="shared" si="9"/>
        <v>-227.49814393026685</v>
      </c>
    </row>
    <row r="47" spans="1:18" x14ac:dyDescent="0.25">
      <c r="A47" s="113">
        <v>4</v>
      </c>
      <c r="B47" s="189">
        <f t="shared" si="13"/>
        <v>43922</v>
      </c>
      <c r="C47" s="213">
        <f t="shared" si="14"/>
        <v>43956</v>
      </c>
      <c r="D47" s="213">
        <f t="shared" si="14"/>
        <v>43976</v>
      </c>
      <c r="E47" s="199" t="s">
        <v>83</v>
      </c>
      <c r="F47" s="150">
        <v>9</v>
      </c>
      <c r="G47" s="192">
        <v>94</v>
      </c>
      <c r="H47" s="193">
        <f t="shared" si="5"/>
        <v>3.32</v>
      </c>
      <c r="I47" s="193">
        <f t="shared" si="1"/>
        <v>1.0507166145491278</v>
      </c>
      <c r="J47" s="197">
        <f t="shared" si="15"/>
        <v>98.767361767618013</v>
      </c>
      <c r="K47" s="201">
        <f t="shared" si="16"/>
        <v>312.08</v>
      </c>
      <c r="L47" s="200">
        <f t="shared" si="17"/>
        <v>-213.31263823238197</v>
      </c>
      <c r="M47" s="197">
        <f t="shared" si="7"/>
        <v>-7.1494806278766463</v>
      </c>
      <c r="N47" s="198">
        <f t="shared" si="8"/>
        <v>-220.46211886025861</v>
      </c>
      <c r="O47" s="197">
        <v>0</v>
      </c>
      <c r="P47" s="197">
        <v>0</v>
      </c>
      <c r="Q47" s="197">
        <v>0</v>
      </c>
      <c r="R47" s="198">
        <f t="shared" si="9"/>
        <v>-220.46211886025861</v>
      </c>
    </row>
    <row r="48" spans="1:18" x14ac:dyDescent="0.25">
      <c r="A48" s="150">
        <v>5</v>
      </c>
      <c r="B48" s="189">
        <f t="shared" si="13"/>
        <v>43952</v>
      </c>
      <c r="C48" s="213">
        <f t="shared" si="14"/>
        <v>43985</v>
      </c>
      <c r="D48" s="213">
        <f t="shared" si="14"/>
        <v>44006</v>
      </c>
      <c r="E48" s="199" t="s">
        <v>83</v>
      </c>
      <c r="F48" s="150">
        <v>9</v>
      </c>
      <c r="G48" s="192">
        <v>106</v>
      </c>
      <c r="H48" s="193">
        <f t="shared" si="5"/>
        <v>3.32</v>
      </c>
      <c r="I48" s="193">
        <f t="shared" si="1"/>
        <v>1.0507166145491278</v>
      </c>
      <c r="J48" s="197">
        <f t="shared" si="15"/>
        <v>111.37596114220754</v>
      </c>
      <c r="K48" s="201">
        <f t="shared" si="16"/>
        <v>351.91999999999996</v>
      </c>
      <c r="L48" s="200">
        <f t="shared" si="17"/>
        <v>-240.54403885779243</v>
      </c>
      <c r="M48" s="197">
        <f t="shared" si="7"/>
        <v>-8.062180282499197</v>
      </c>
      <c r="N48" s="198">
        <f t="shared" si="8"/>
        <v>-248.60621914029161</v>
      </c>
      <c r="O48" s="197">
        <v>0</v>
      </c>
      <c r="P48" s="197">
        <v>0</v>
      </c>
      <c r="Q48" s="197">
        <v>0</v>
      </c>
      <c r="R48" s="198">
        <f t="shared" si="9"/>
        <v>-248.60621914029161</v>
      </c>
    </row>
    <row r="49" spans="1:18" x14ac:dyDescent="0.25">
      <c r="A49" s="150">
        <v>6</v>
      </c>
      <c r="B49" s="189">
        <f t="shared" si="13"/>
        <v>43983</v>
      </c>
      <c r="C49" s="213">
        <f t="shared" si="14"/>
        <v>44015</v>
      </c>
      <c r="D49" s="213">
        <f t="shared" si="14"/>
        <v>44036</v>
      </c>
      <c r="E49" s="199" t="s">
        <v>83</v>
      </c>
      <c r="F49" s="150">
        <v>9</v>
      </c>
      <c r="G49" s="192">
        <v>132</v>
      </c>
      <c r="H49" s="193">
        <f t="shared" si="5"/>
        <v>3.32</v>
      </c>
      <c r="I49" s="193">
        <f t="shared" si="1"/>
        <v>1.0507166145491278</v>
      </c>
      <c r="J49" s="197">
        <f t="shared" si="15"/>
        <v>138.69459312048488</v>
      </c>
      <c r="K49" s="201">
        <f t="shared" si="16"/>
        <v>438.23999999999995</v>
      </c>
      <c r="L49" s="200">
        <f t="shared" si="17"/>
        <v>-299.5454068795151</v>
      </c>
      <c r="M49" s="197">
        <f t="shared" si="7"/>
        <v>-10.039696200848056</v>
      </c>
      <c r="N49" s="198">
        <f t="shared" si="8"/>
        <v>-309.58510308036318</v>
      </c>
      <c r="O49" s="197">
        <v>0</v>
      </c>
      <c r="P49" s="197">
        <v>0</v>
      </c>
      <c r="Q49" s="197">
        <v>0</v>
      </c>
      <c r="R49" s="198">
        <f t="shared" si="9"/>
        <v>-309.58510308036318</v>
      </c>
    </row>
    <row r="50" spans="1:18" x14ac:dyDescent="0.25">
      <c r="A50" s="113">
        <v>7</v>
      </c>
      <c r="B50" s="189">
        <f t="shared" si="13"/>
        <v>44013</v>
      </c>
      <c r="C50" s="213">
        <f t="shared" si="14"/>
        <v>44048</v>
      </c>
      <c r="D50" s="213">
        <f t="shared" si="14"/>
        <v>44067</v>
      </c>
      <c r="E50" s="199" t="s">
        <v>83</v>
      </c>
      <c r="F50" s="150">
        <v>9</v>
      </c>
      <c r="G50" s="192">
        <v>139</v>
      </c>
      <c r="H50" s="193">
        <f t="shared" si="5"/>
        <v>3.32</v>
      </c>
      <c r="I50" s="193">
        <f t="shared" si="1"/>
        <v>1.0507166145491278</v>
      </c>
      <c r="J50" s="197">
        <f t="shared" si="15"/>
        <v>146.04960942232876</v>
      </c>
      <c r="K50" s="201">
        <f t="shared" si="16"/>
        <v>461.47999999999996</v>
      </c>
      <c r="L50" s="200">
        <f t="shared" si="17"/>
        <v>-315.43039057767123</v>
      </c>
      <c r="M50" s="197">
        <f t="shared" si="7"/>
        <v>-10.572104332711209</v>
      </c>
      <c r="N50" s="198">
        <f t="shared" si="8"/>
        <v>-326.00249491038244</v>
      </c>
      <c r="O50" s="197">
        <v>0</v>
      </c>
      <c r="P50" s="197">
        <v>0</v>
      </c>
      <c r="Q50" s="197">
        <v>0</v>
      </c>
      <c r="R50" s="198">
        <f t="shared" si="9"/>
        <v>-326.00249491038244</v>
      </c>
    </row>
    <row r="51" spans="1:18" x14ac:dyDescent="0.25">
      <c r="A51" s="150">
        <v>8</v>
      </c>
      <c r="B51" s="189">
        <f t="shared" si="13"/>
        <v>44044</v>
      </c>
      <c r="C51" s="213">
        <f t="shared" si="14"/>
        <v>44077</v>
      </c>
      <c r="D51" s="213">
        <f t="shared" si="14"/>
        <v>44098</v>
      </c>
      <c r="E51" s="199" t="s">
        <v>83</v>
      </c>
      <c r="F51" s="150">
        <v>9</v>
      </c>
      <c r="G51" s="192">
        <v>136</v>
      </c>
      <c r="H51" s="193">
        <f t="shared" si="5"/>
        <v>3.32</v>
      </c>
      <c r="I51" s="193">
        <f t="shared" si="1"/>
        <v>1.0507166145491278</v>
      </c>
      <c r="J51" s="197">
        <f t="shared" si="15"/>
        <v>142.89745957868138</v>
      </c>
      <c r="K51" s="201">
        <f t="shared" si="16"/>
        <v>451.52</v>
      </c>
      <c r="L51" s="200">
        <f t="shared" si="17"/>
        <v>-308.6225404213186</v>
      </c>
      <c r="M51" s="197">
        <f t="shared" si="7"/>
        <v>-10.343929419055572</v>
      </c>
      <c r="N51" s="198">
        <f t="shared" si="8"/>
        <v>-318.9664698403742</v>
      </c>
      <c r="O51" s="197">
        <v>0</v>
      </c>
      <c r="P51" s="197">
        <v>0</v>
      </c>
      <c r="Q51" s="197">
        <v>0</v>
      </c>
      <c r="R51" s="198">
        <f t="shared" si="9"/>
        <v>-318.9664698403742</v>
      </c>
    </row>
    <row r="52" spans="1:18" x14ac:dyDescent="0.25">
      <c r="A52" s="150">
        <v>9</v>
      </c>
      <c r="B52" s="189">
        <f t="shared" si="13"/>
        <v>44075</v>
      </c>
      <c r="C52" s="213">
        <f t="shared" si="14"/>
        <v>44109</v>
      </c>
      <c r="D52" s="213">
        <f t="shared" si="14"/>
        <v>44130</v>
      </c>
      <c r="E52" s="199" t="s">
        <v>83</v>
      </c>
      <c r="F52" s="150">
        <v>9</v>
      </c>
      <c r="G52" s="192">
        <v>116</v>
      </c>
      <c r="H52" s="193">
        <f t="shared" si="5"/>
        <v>3.32</v>
      </c>
      <c r="I52" s="193">
        <f t="shared" si="1"/>
        <v>1.0507166145491278</v>
      </c>
      <c r="J52" s="197">
        <f t="shared" si="15"/>
        <v>121.88312728769883</v>
      </c>
      <c r="K52" s="201">
        <f t="shared" si="16"/>
        <v>385.12</v>
      </c>
      <c r="L52" s="200">
        <f t="shared" si="17"/>
        <v>-263.23687271230119</v>
      </c>
      <c r="M52" s="197">
        <f t="shared" si="7"/>
        <v>-8.822763328017988</v>
      </c>
      <c r="N52" s="198">
        <f t="shared" si="8"/>
        <v>-272.05963604031916</v>
      </c>
      <c r="O52" s="197">
        <v>0</v>
      </c>
      <c r="P52" s="197">
        <v>0</v>
      </c>
      <c r="Q52" s="197">
        <v>0</v>
      </c>
      <c r="R52" s="198">
        <f t="shared" si="9"/>
        <v>-272.05963604031916</v>
      </c>
    </row>
    <row r="53" spans="1:18" x14ac:dyDescent="0.25">
      <c r="A53" s="113">
        <v>10</v>
      </c>
      <c r="B53" s="189">
        <f t="shared" si="13"/>
        <v>44105</v>
      </c>
      <c r="C53" s="213">
        <f t="shared" si="14"/>
        <v>44139</v>
      </c>
      <c r="D53" s="213">
        <f t="shared" si="14"/>
        <v>44159</v>
      </c>
      <c r="E53" s="199" t="s">
        <v>83</v>
      </c>
      <c r="F53" s="150">
        <v>9</v>
      </c>
      <c r="G53" s="192">
        <v>78</v>
      </c>
      <c r="H53" s="193">
        <f t="shared" si="5"/>
        <v>3.32</v>
      </c>
      <c r="I53" s="193">
        <f t="shared" si="1"/>
        <v>1.0507166145491278</v>
      </c>
      <c r="J53" s="197">
        <f t="shared" si="15"/>
        <v>81.955895934831972</v>
      </c>
      <c r="K53" s="201">
        <f t="shared" si="16"/>
        <v>258.95999999999998</v>
      </c>
      <c r="L53" s="200">
        <f t="shared" si="17"/>
        <v>-177.00410406516801</v>
      </c>
      <c r="M53" s="197">
        <f t="shared" si="7"/>
        <v>-5.9325477550465777</v>
      </c>
      <c r="N53" s="198">
        <f t="shared" si="8"/>
        <v>-182.93665182021459</v>
      </c>
      <c r="O53" s="197">
        <v>0</v>
      </c>
      <c r="P53" s="197">
        <v>0</v>
      </c>
      <c r="Q53" s="197">
        <v>0</v>
      </c>
      <c r="R53" s="198">
        <f t="shared" si="9"/>
        <v>-182.93665182021459</v>
      </c>
    </row>
    <row r="54" spans="1:18" x14ac:dyDescent="0.25">
      <c r="A54" s="150">
        <v>11</v>
      </c>
      <c r="B54" s="189">
        <f t="shared" si="13"/>
        <v>44136</v>
      </c>
      <c r="C54" s="213">
        <f t="shared" si="14"/>
        <v>44168</v>
      </c>
      <c r="D54" s="213">
        <f t="shared" si="14"/>
        <v>44189</v>
      </c>
      <c r="E54" s="199" t="s">
        <v>83</v>
      </c>
      <c r="F54" s="150">
        <v>9</v>
      </c>
      <c r="G54" s="192">
        <v>109</v>
      </c>
      <c r="H54" s="193">
        <f t="shared" si="5"/>
        <v>3.32</v>
      </c>
      <c r="I54" s="193">
        <f t="shared" si="1"/>
        <v>1.0507166145491278</v>
      </c>
      <c r="J54" s="197">
        <f t="shared" si="15"/>
        <v>114.52811098585492</v>
      </c>
      <c r="K54" s="201">
        <f t="shared" si="16"/>
        <v>361.88</v>
      </c>
      <c r="L54" s="200">
        <f t="shared" si="17"/>
        <v>-247.35188901414506</v>
      </c>
      <c r="M54" s="197">
        <f t="shared" si="7"/>
        <v>-8.2903551961548327</v>
      </c>
      <c r="N54" s="198">
        <f t="shared" si="8"/>
        <v>-255.64224421029988</v>
      </c>
      <c r="O54" s="197">
        <v>0</v>
      </c>
      <c r="P54" s="197">
        <v>0</v>
      </c>
      <c r="Q54" s="197">
        <v>0</v>
      </c>
      <c r="R54" s="198">
        <f t="shared" si="9"/>
        <v>-255.64224421029988</v>
      </c>
    </row>
    <row r="55" spans="1:18" x14ac:dyDescent="0.25">
      <c r="A55" s="150">
        <v>12</v>
      </c>
      <c r="B55" s="189">
        <f t="shared" si="13"/>
        <v>44166</v>
      </c>
      <c r="C55" s="213">
        <f t="shared" si="14"/>
        <v>44202</v>
      </c>
      <c r="D55" s="213">
        <f t="shared" si="14"/>
        <v>44221</v>
      </c>
      <c r="E55" s="199" t="s">
        <v>83</v>
      </c>
      <c r="F55" s="150">
        <v>9</v>
      </c>
      <c r="G55" s="204">
        <v>143</v>
      </c>
      <c r="H55" s="205">
        <f t="shared" si="5"/>
        <v>3.32</v>
      </c>
      <c r="I55" s="205">
        <f t="shared" si="1"/>
        <v>1.0507166145491278</v>
      </c>
      <c r="J55" s="206">
        <f t="shared" si="15"/>
        <v>150.25247588052528</v>
      </c>
      <c r="K55" s="207">
        <f t="shared" si="16"/>
        <v>474.76</v>
      </c>
      <c r="L55" s="208">
        <f t="shared" si="17"/>
        <v>-324.50752411947474</v>
      </c>
      <c r="M55" s="197">
        <f t="shared" si="7"/>
        <v>-10.876337550918727</v>
      </c>
      <c r="N55" s="198">
        <f t="shared" si="8"/>
        <v>-335.38386167039346</v>
      </c>
      <c r="O55" s="197">
        <v>0</v>
      </c>
      <c r="P55" s="197">
        <v>0</v>
      </c>
      <c r="Q55" s="197">
        <v>0</v>
      </c>
      <c r="R55" s="198">
        <f t="shared" si="9"/>
        <v>-335.38386167039346</v>
      </c>
    </row>
    <row r="56" spans="1:18" s="214" customFormat="1" x14ac:dyDescent="0.25">
      <c r="A56" s="113">
        <v>1</v>
      </c>
      <c r="B56" s="209">
        <f t="shared" si="4"/>
        <v>43831</v>
      </c>
      <c r="C56" s="210">
        <f t="shared" ref="C56:D67" si="18">+C32</f>
        <v>43866</v>
      </c>
      <c r="D56" s="210">
        <f t="shared" si="18"/>
        <v>43885</v>
      </c>
      <c r="E56" s="211" t="s">
        <v>14</v>
      </c>
      <c r="F56" s="212">
        <v>9</v>
      </c>
      <c r="G56" s="192">
        <v>753</v>
      </c>
      <c r="H56" s="193">
        <f t="shared" si="5"/>
        <v>3.32</v>
      </c>
      <c r="I56" s="193">
        <f t="shared" si="1"/>
        <v>1.0507166145491278</v>
      </c>
      <c r="J56" s="194">
        <f t="shared" si="2"/>
        <v>791.18961075549328</v>
      </c>
      <c r="K56" s="195">
        <f t="shared" si="11"/>
        <v>2499.96</v>
      </c>
      <c r="L56" s="196">
        <f t="shared" si="12"/>
        <v>-1708.7703892445068</v>
      </c>
      <c r="M56" s="197">
        <f t="shared" si="7"/>
        <v>-57.271903327565042</v>
      </c>
      <c r="N56" s="198">
        <f t="shared" si="8"/>
        <v>-1766.0422925720718</v>
      </c>
      <c r="O56" s="197">
        <v>0</v>
      </c>
      <c r="P56" s="197">
        <v>0</v>
      </c>
      <c r="Q56" s="197">
        <v>0</v>
      </c>
      <c r="R56" s="198">
        <f t="shared" si="9"/>
        <v>-1766.0422925720718</v>
      </c>
    </row>
    <row r="57" spans="1:18" x14ac:dyDescent="0.25">
      <c r="A57" s="150">
        <v>2</v>
      </c>
      <c r="B57" s="189">
        <f t="shared" si="4"/>
        <v>43862</v>
      </c>
      <c r="C57" s="213">
        <f t="shared" si="18"/>
        <v>43894</v>
      </c>
      <c r="D57" s="213">
        <f t="shared" si="18"/>
        <v>43914</v>
      </c>
      <c r="E57" s="199" t="s">
        <v>14</v>
      </c>
      <c r="F57" s="150">
        <v>9</v>
      </c>
      <c r="G57" s="192">
        <v>715</v>
      </c>
      <c r="H57" s="193">
        <f t="shared" si="5"/>
        <v>3.32</v>
      </c>
      <c r="I57" s="193">
        <f t="shared" si="1"/>
        <v>1.0507166145491278</v>
      </c>
      <c r="J57" s="194">
        <f t="shared" si="2"/>
        <v>751.26237940262638</v>
      </c>
      <c r="K57" s="195">
        <f t="shared" si="11"/>
        <v>2373.7999999999997</v>
      </c>
      <c r="L57" s="196">
        <f t="shared" si="12"/>
        <v>-1622.5376205973735</v>
      </c>
      <c r="M57" s="197">
        <f t="shared" si="7"/>
        <v>-54.381687754593635</v>
      </c>
      <c r="N57" s="198">
        <f t="shared" si="8"/>
        <v>-1676.9193083519672</v>
      </c>
      <c r="O57" s="197">
        <v>0</v>
      </c>
      <c r="P57" s="197">
        <v>0</v>
      </c>
      <c r="Q57" s="197">
        <v>0</v>
      </c>
      <c r="R57" s="198">
        <f t="shared" si="9"/>
        <v>-1676.9193083519672</v>
      </c>
    </row>
    <row r="58" spans="1:18" x14ac:dyDescent="0.25">
      <c r="A58" s="150">
        <v>3</v>
      </c>
      <c r="B58" s="189">
        <f t="shared" si="4"/>
        <v>43891</v>
      </c>
      <c r="C58" s="213">
        <f t="shared" si="18"/>
        <v>43924</v>
      </c>
      <c r="D58" s="213">
        <f t="shared" si="18"/>
        <v>43945</v>
      </c>
      <c r="E58" s="199" t="s">
        <v>14</v>
      </c>
      <c r="F58" s="150">
        <v>9</v>
      </c>
      <c r="G58" s="192">
        <v>510</v>
      </c>
      <c r="H58" s="193">
        <f t="shared" si="5"/>
        <v>3.32</v>
      </c>
      <c r="I58" s="193">
        <f t="shared" si="1"/>
        <v>1.0507166145491278</v>
      </c>
      <c r="J58" s="194">
        <f t="shared" si="2"/>
        <v>535.8654734200552</v>
      </c>
      <c r="K58" s="195">
        <f t="shared" si="11"/>
        <v>1693.1999999999998</v>
      </c>
      <c r="L58" s="196">
        <f>+J58-K58</f>
        <v>-1157.3345265799446</v>
      </c>
      <c r="M58" s="197">
        <f t="shared" si="7"/>
        <v>-38.789735321458394</v>
      </c>
      <c r="N58" s="198">
        <f t="shared" si="8"/>
        <v>-1196.1242619014031</v>
      </c>
      <c r="O58" s="197">
        <v>0</v>
      </c>
      <c r="P58" s="197">
        <v>0</v>
      </c>
      <c r="Q58" s="197">
        <v>0</v>
      </c>
      <c r="R58" s="198">
        <f t="shared" si="9"/>
        <v>-1196.1242619014031</v>
      </c>
    </row>
    <row r="59" spans="1:18" x14ac:dyDescent="0.25">
      <c r="A59" s="113">
        <v>4</v>
      </c>
      <c r="B59" s="189">
        <f t="shared" si="4"/>
        <v>43922</v>
      </c>
      <c r="C59" s="213">
        <f t="shared" si="18"/>
        <v>43956</v>
      </c>
      <c r="D59" s="213">
        <f t="shared" si="18"/>
        <v>43976</v>
      </c>
      <c r="E59" s="199" t="s">
        <v>14</v>
      </c>
      <c r="F59" s="150">
        <v>9</v>
      </c>
      <c r="G59" s="192">
        <v>615</v>
      </c>
      <c r="H59" s="193">
        <f t="shared" si="5"/>
        <v>3.32</v>
      </c>
      <c r="I59" s="193">
        <f t="shared" si="1"/>
        <v>1.0507166145491278</v>
      </c>
      <c r="J59" s="194">
        <f t="shared" si="2"/>
        <v>646.19071794771355</v>
      </c>
      <c r="K59" s="195">
        <f t="shared" si="11"/>
        <v>2041.8</v>
      </c>
      <c r="L59" s="196">
        <f t="shared" ref="L59:L81" si="19">+J59-K59</f>
        <v>-1395.6092820522863</v>
      </c>
      <c r="M59" s="197">
        <f t="shared" si="7"/>
        <v>-46.775857299405708</v>
      </c>
      <c r="N59" s="198">
        <f t="shared" si="8"/>
        <v>-1442.385139351692</v>
      </c>
      <c r="O59" s="197">
        <v>0</v>
      </c>
      <c r="P59" s="197">
        <v>0</v>
      </c>
      <c r="Q59" s="197">
        <v>0</v>
      </c>
      <c r="R59" s="198">
        <f t="shared" si="9"/>
        <v>-1442.385139351692</v>
      </c>
    </row>
    <row r="60" spans="1:18" x14ac:dyDescent="0.25">
      <c r="A60" s="150">
        <v>5</v>
      </c>
      <c r="B60" s="189">
        <f t="shared" si="4"/>
        <v>43952</v>
      </c>
      <c r="C60" s="213">
        <f t="shared" si="18"/>
        <v>43985</v>
      </c>
      <c r="D60" s="213">
        <f t="shared" si="18"/>
        <v>44006</v>
      </c>
      <c r="E60" s="54" t="s">
        <v>14</v>
      </c>
      <c r="F60" s="150">
        <v>9</v>
      </c>
      <c r="G60" s="192">
        <v>551</v>
      </c>
      <c r="H60" s="193">
        <f t="shared" si="5"/>
        <v>3.32</v>
      </c>
      <c r="I60" s="193">
        <f t="shared" si="1"/>
        <v>1.0507166145491278</v>
      </c>
      <c r="J60" s="194">
        <f t="shared" si="2"/>
        <v>578.94485461656939</v>
      </c>
      <c r="K60" s="195">
        <f t="shared" si="11"/>
        <v>1829.32</v>
      </c>
      <c r="L60" s="196">
        <f t="shared" si="19"/>
        <v>-1250.3751453834307</v>
      </c>
      <c r="M60" s="197">
        <f t="shared" si="7"/>
        <v>-41.908125808085437</v>
      </c>
      <c r="N60" s="198">
        <f t="shared" si="8"/>
        <v>-1292.2832711915162</v>
      </c>
      <c r="O60" s="197">
        <v>0</v>
      </c>
      <c r="P60" s="197">
        <v>0</v>
      </c>
      <c r="Q60" s="197">
        <v>0</v>
      </c>
      <c r="R60" s="198">
        <f t="shared" si="9"/>
        <v>-1292.2832711915162</v>
      </c>
    </row>
    <row r="61" spans="1:18" x14ac:dyDescent="0.25">
      <c r="A61" s="150">
        <v>6</v>
      </c>
      <c r="B61" s="189">
        <f t="shared" si="4"/>
        <v>43983</v>
      </c>
      <c r="C61" s="213">
        <f t="shared" si="18"/>
        <v>44015</v>
      </c>
      <c r="D61" s="213">
        <f t="shared" si="18"/>
        <v>44036</v>
      </c>
      <c r="E61" s="54" t="s">
        <v>14</v>
      </c>
      <c r="F61" s="150">
        <v>9</v>
      </c>
      <c r="G61" s="192">
        <v>815</v>
      </c>
      <c r="H61" s="193">
        <f t="shared" si="5"/>
        <v>3.32</v>
      </c>
      <c r="I61" s="193">
        <f t="shared" si="1"/>
        <v>1.0507166145491278</v>
      </c>
      <c r="J61" s="194">
        <f t="shared" si="2"/>
        <v>856.33404085753909</v>
      </c>
      <c r="K61" s="195">
        <f t="shared" si="11"/>
        <v>2705.7999999999997</v>
      </c>
      <c r="L61" s="200">
        <f t="shared" si="19"/>
        <v>-1849.4659591424606</v>
      </c>
      <c r="M61" s="197">
        <f t="shared" si="7"/>
        <v>-61.987518209781548</v>
      </c>
      <c r="N61" s="198">
        <f t="shared" si="8"/>
        <v>-1911.4534773522421</v>
      </c>
      <c r="O61" s="197">
        <v>0</v>
      </c>
      <c r="P61" s="197">
        <v>0</v>
      </c>
      <c r="Q61" s="197">
        <v>0</v>
      </c>
      <c r="R61" s="198">
        <f t="shared" si="9"/>
        <v>-1911.4534773522421</v>
      </c>
    </row>
    <row r="62" spans="1:18" x14ac:dyDescent="0.25">
      <c r="A62" s="113">
        <v>7</v>
      </c>
      <c r="B62" s="189">
        <f t="shared" si="4"/>
        <v>44013</v>
      </c>
      <c r="C62" s="213">
        <f t="shared" si="18"/>
        <v>44048</v>
      </c>
      <c r="D62" s="213">
        <f t="shared" si="18"/>
        <v>44067</v>
      </c>
      <c r="E62" s="54" t="s">
        <v>14</v>
      </c>
      <c r="F62" s="150">
        <v>9</v>
      </c>
      <c r="G62" s="192">
        <v>816</v>
      </c>
      <c r="H62" s="193">
        <f t="shared" si="5"/>
        <v>3.32</v>
      </c>
      <c r="I62" s="193">
        <f t="shared" si="1"/>
        <v>1.0507166145491278</v>
      </c>
      <c r="J62" s="194">
        <f t="shared" si="2"/>
        <v>857.38475747208827</v>
      </c>
      <c r="K62" s="201">
        <f t="shared" si="11"/>
        <v>2709.12</v>
      </c>
      <c r="L62" s="200">
        <f t="shared" si="19"/>
        <v>-1851.7352425279116</v>
      </c>
      <c r="M62" s="197">
        <f t="shared" si="7"/>
        <v>-62.063576514333434</v>
      </c>
      <c r="N62" s="198">
        <f t="shared" si="8"/>
        <v>-1913.798819042245</v>
      </c>
      <c r="O62" s="197">
        <v>0</v>
      </c>
      <c r="P62" s="197">
        <v>0</v>
      </c>
      <c r="Q62" s="197">
        <v>0</v>
      </c>
      <c r="R62" s="198">
        <f t="shared" si="9"/>
        <v>-1913.798819042245</v>
      </c>
    </row>
    <row r="63" spans="1:18" x14ac:dyDescent="0.25">
      <c r="A63" s="150">
        <v>8</v>
      </c>
      <c r="B63" s="189">
        <f t="shared" si="4"/>
        <v>44044</v>
      </c>
      <c r="C63" s="213">
        <f t="shared" si="18"/>
        <v>44077</v>
      </c>
      <c r="D63" s="213">
        <f t="shared" si="18"/>
        <v>44098</v>
      </c>
      <c r="E63" s="54" t="s">
        <v>14</v>
      </c>
      <c r="F63" s="150">
        <v>9</v>
      </c>
      <c r="G63" s="192">
        <v>889</v>
      </c>
      <c r="H63" s="193">
        <f t="shared" si="5"/>
        <v>3.32</v>
      </c>
      <c r="I63" s="193">
        <f t="shared" si="1"/>
        <v>1.0507166145491278</v>
      </c>
      <c r="J63" s="194">
        <f t="shared" si="2"/>
        <v>934.08707033417465</v>
      </c>
      <c r="K63" s="201">
        <f t="shared" si="11"/>
        <v>2951.48</v>
      </c>
      <c r="L63" s="200">
        <f t="shared" si="19"/>
        <v>-2017.3929296658252</v>
      </c>
      <c r="M63" s="197">
        <f t="shared" si="7"/>
        <v>-67.615832746620612</v>
      </c>
      <c r="N63" s="198">
        <f t="shared" si="8"/>
        <v>-2085.0087624124458</v>
      </c>
      <c r="O63" s="197">
        <v>0</v>
      </c>
      <c r="P63" s="197">
        <v>0</v>
      </c>
      <c r="Q63" s="197">
        <v>0</v>
      </c>
      <c r="R63" s="198">
        <f t="shared" si="9"/>
        <v>-2085.0087624124458</v>
      </c>
    </row>
    <row r="64" spans="1:18" x14ac:dyDescent="0.25">
      <c r="A64" s="150">
        <v>9</v>
      </c>
      <c r="B64" s="189">
        <f t="shared" si="4"/>
        <v>44075</v>
      </c>
      <c r="C64" s="213">
        <f t="shared" si="18"/>
        <v>44109</v>
      </c>
      <c r="D64" s="213">
        <f t="shared" si="18"/>
        <v>44130</v>
      </c>
      <c r="E64" s="54" t="s">
        <v>14</v>
      </c>
      <c r="F64" s="150">
        <v>9</v>
      </c>
      <c r="G64" s="192">
        <v>768</v>
      </c>
      <c r="H64" s="193">
        <f t="shared" si="5"/>
        <v>3.32</v>
      </c>
      <c r="I64" s="193">
        <f t="shared" ref="I64:I107" si="20">$J$3</f>
        <v>1.0507166145491278</v>
      </c>
      <c r="J64" s="194">
        <f t="shared" si="2"/>
        <v>806.9503599737302</v>
      </c>
      <c r="K64" s="201">
        <f t="shared" si="11"/>
        <v>2549.7599999999998</v>
      </c>
      <c r="L64" s="200">
        <f t="shared" si="19"/>
        <v>-1742.8096400262696</v>
      </c>
      <c r="M64" s="197">
        <f t="shared" si="7"/>
        <v>-58.412777895843227</v>
      </c>
      <c r="N64" s="198">
        <f t="shared" si="8"/>
        <v>-1801.2224179221128</v>
      </c>
      <c r="O64" s="197">
        <v>0</v>
      </c>
      <c r="P64" s="197">
        <v>0</v>
      </c>
      <c r="Q64" s="197">
        <v>0</v>
      </c>
      <c r="R64" s="198">
        <f t="shared" si="9"/>
        <v>-1801.2224179221128</v>
      </c>
    </row>
    <row r="65" spans="1:18" x14ac:dyDescent="0.25">
      <c r="A65" s="113">
        <v>10</v>
      </c>
      <c r="B65" s="189">
        <f t="shared" si="4"/>
        <v>44105</v>
      </c>
      <c r="C65" s="213">
        <f t="shared" si="18"/>
        <v>44139</v>
      </c>
      <c r="D65" s="213">
        <f t="shared" si="18"/>
        <v>44159</v>
      </c>
      <c r="E65" s="54" t="s">
        <v>14</v>
      </c>
      <c r="F65" s="150">
        <v>9</v>
      </c>
      <c r="G65" s="192">
        <v>633</v>
      </c>
      <c r="H65" s="193">
        <f t="shared" si="5"/>
        <v>3.32</v>
      </c>
      <c r="I65" s="193">
        <f t="shared" si="20"/>
        <v>1.0507166145491278</v>
      </c>
      <c r="J65" s="194">
        <f t="shared" si="2"/>
        <v>665.10361700959788</v>
      </c>
      <c r="K65" s="201">
        <f t="shared" si="11"/>
        <v>2101.56</v>
      </c>
      <c r="L65" s="200">
        <f t="shared" si="19"/>
        <v>-1436.4563829904021</v>
      </c>
      <c r="M65" s="197">
        <f t="shared" si="7"/>
        <v>-48.144906781339536</v>
      </c>
      <c r="N65" s="198">
        <f t="shared" si="8"/>
        <v>-1484.6012897717417</v>
      </c>
      <c r="O65" s="197">
        <v>0</v>
      </c>
      <c r="P65" s="197">
        <v>0</v>
      </c>
      <c r="Q65" s="197">
        <v>0</v>
      </c>
      <c r="R65" s="198">
        <f t="shared" si="9"/>
        <v>-1484.6012897717417</v>
      </c>
    </row>
    <row r="66" spans="1:18" x14ac:dyDescent="0.25">
      <c r="A66" s="150">
        <v>11</v>
      </c>
      <c r="B66" s="189">
        <f t="shared" si="4"/>
        <v>44136</v>
      </c>
      <c r="C66" s="213">
        <f t="shared" si="18"/>
        <v>44168</v>
      </c>
      <c r="D66" s="213">
        <f t="shared" si="18"/>
        <v>44189</v>
      </c>
      <c r="E66" s="54" t="s">
        <v>14</v>
      </c>
      <c r="F66" s="150">
        <v>9</v>
      </c>
      <c r="G66" s="192">
        <v>639</v>
      </c>
      <c r="H66" s="193">
        <f t="shared" si="5"/>
        <v>3.32</v>
      </c>
      <c r="I66" s="193">
        <f t="shared" si="20"/>
        <v>1.0507166145491278</v>
      </c>
      <c r="J66" s="194">
        <f t="shared" si="2"/>
        <v>671.4079166968927</v>
      </c>
      <c r="K66" s="201">
        <f t="shared" si="11"/>
        <v>2121.48</v>
      </c>
      <c r="L66" s="200">
        <f t="shared" si="19"/>
        <v>-1450.0720833031073</v>
      </c>
      <c r="M66" s="197">
        <f t="shared" si="7"/>
        <v>-48.601256608650814</v>
      </c>
      <c r="N66" s="198">
        <f t="shared" si="8"/>
        <v>-1498.6733399117581</v>
      </c>
      <c r="O66" s="197">
        <v>0</v>
      </c>
      <c r="P66" s="197">
        <v>0</v>
      </c>
      <c r="Q66" s="197">
        <v>0</v>
      </c>
      <c r="R66" s="198">
        <f t="shared" si="9"/>
        <v>-1498.6733399117581</v>
      </c>
    </row>
    <row r="67" spans="1:18" s="217" customFormat="1" x14ac:dyDescent="0.25">
      <c r="A67" s="150">
        <v>12</v>
      </c>
      <c r="B67" s="215">
        <f t="shared" si="4"/>
        <v>44166</v>
      </c>
      <c r="C67" s="213">
        <f t="shared" si="18"/>
        <v>44202</v>
      </c>
      <c r="D67" s="213">
        <f t="shared" si="18"/>
        <v>44221</v>
      </c>
      <c r="E67" s="216" t="s">
        <v>14</v>
      </c>
      <c r="F67" s="161">
        <v>9</v>
      </c>
      <c r="G67" s="204">
        <v>734</v>
      </c>
      <c r="H67" s="205">
        <f t="shared" si="5"/>
        <v>3.32</v>
      </c>
      <c r="I67" s="205">
        <f t="shared" si="20"/>
        <v>1.0507166145491278</v>
      </c>
      <c r="J67" s="206">
        <f t="shared" si="2"/>
        <v>771.22599507905977</v>
      </c>
      <c r="K67" s="207">
        <f t="shared" si="11"/>
        <v>2436.88</v>
      </c>
      <c r="L67" s="208">
        <f t="shared" si="19"/>
        <v>-1665.6540049209402</v>
      </c>
      <c r="M67" s="197">
        <f t="shared" si="7"/>
        <v>-55.826795541079335</v>
      </c>
      <c r="N67" s="198">
        <f t="shared" si="8"/>
        <v>-1721.4808004620195</v>
      </c>
      <c r="O67" s="197">
        <v>0</v>
      </c>
      <c r="P67" s="197">
        <v>0</v>
      </c>
      <c r="Q67" s="197">
        <v>0</v>
      </c>
      <c r="R67" s="198">
        <f t="shared" si="9"/>
        <v>-1721.4808004620195</v>
      </c>
    </row>
    <row r="68" spans="1:18" x14ac:dyDescent="0.25">
      <c r="A68" s="113">
        <v>1</v>
      </c>
      <c r="B68" s="189">
        <f t="shared" si="4"/>
        <v>43831</v>
      </c>
      <c r="C68" s="210">
        <f t="shared" ref="C68:D79" si="21">+C56</f>
        <v>43866</v>
      </c>
      <c r="D68" s="210">
        <f t="shared" si="21"/>
        <v>43885</v>
      </c>
      <c r="E68" s="191" t="s">
        <v>85</v>
      </c>
      <c r="F68" s="113">
        <v>9</v>
      </c>
      <c r="G68" s="192">
        <v>41</v>
      </c>
      <c r="H68" s="193">
        <f t="shared" si="5"/>
        <v>3.32</v>
      </c>
      <c r="I68" s="193">
        <f t="shared" si="20"/>
        <v>1.0507166145491278</v>
      </c>
      <c r="J68" s="194">
        <f t="shared" si="2"/>
        <v>43.079381196514241</v>
      </c>
      <c r="K68" s="195">
        <f t="shared" si="11"/>
        <v>136.12</v>
      </c>
      <c r="L68" s="196">
        <f t="shared" si="19"/>
        <v>-93.040618803485756</v>
      </c>
      <c r="M68" s="197">
        <f t="shared" si="7"/>
        <v>-3.1183904866270478</v>
      </c>
      <c r="N68" s="198">
        <f t="shared" si="8"/>
        <v>-96.159009290112806</v>
      </c>
      <c r="O68" s="197">
        <v>0</v>
      </c>
      <c r="P68" s="197">
        <v>0</v>
      </c>
      <c r="Q68" s="197">
        <v>0</v>
      </c>
      <c r="R68" s="198">
        <f t="shared" si="9"/>
        <v>-96.159009290112806</v>
      </c>
    </row>
    <row r="69" spans="1:18" x14ac:dyDescent="0.25">
      <c r="A69" s="150">
        <v>2</v>
      </c>
      <c r="B69" s="189">
        <f t="shared" si="4"/>
        <v>43862</v>
      </c>
      <c r="C69" s="213">
        <f t="shared" si="21"/>
        <v>43894</v>
      </c>
      <c r="D69" s="213">
        <f t="shared" si="21"/>
        <v>43914</v>
      </c>
      <c r="E69" s="199" t="s">
        <v>85</v>
      </c>
      <c r="F69" s="150">
        <v>9</v>
      </c>
      <c r="G69" s="192">
        <v>34</v>
      </c>
      <c r="H69" s="193">
        <f t="shared" si="5"/>
        <v>3.32</v>
      </c>
      <c r="I69" s="193">
        <f t="shared" si="20"/>
        <v>1.0507166145491278</v>
      </c>
      <c r="J69" s="194">
        <f t="shared" si="2"/>
        <v>35.724364894670344</v>
      </c>
      <c r="K69" s="195">
        <f t="shared" si="11"/>
        <v>112.88</v>
      </c>
      <c r="L69" s="196">
        <f t="shared" si="19"/>
        <v>-77.155635105329651</v>
      </c>
      <c r="M69" s="197">
        <f t="shared" si="7"/>
        <v>-2.5859823547638929</v>
      </c>
      <c r="N69" s="198">
        <f t="shared" si="8"/>
        <v>-79.741617460093551</v>
      </c>
      <c r="O69" s="197">
        <v>0</v>
      </c>
      <c r="P69" s="197">
        <v>0</v>
      </c>
      <c r="Q69" s="197">
        <v>0</v>
      </c>
      <c r="R69" s="198">
        <f t="shared" si="9"/>
        <v>-79.741617460093551</v>
      </c>
    </row>
    <row r="70" spans="1:18" x14ac:dyDescent="0.25">
      <c r="A70" s="150">
        <v>3</v>
      </c>
      <c r="B70" s="189">
        <f t="shared" si="4"/>
        <v>43891</v>
      </c>
      <c r="C70" s="213">
        <f t="shared" si="21"/>
        <v>43924</v>
      </c>
      <c r="D70" s="213">
        <f t="shared" si="21"/>
        <v>43945</v>
      </c>
      <c r="E70" s="199" t="s">
        <v>85</v>
      </c>
      <c r="F70" s="150">
        <v>9</v>
      </c>
      <c r="G70" s="192">
        <v>25</v>
      </c>
      <c r="H70" s="193">
        <f t="shared" si="5"/>
        <v>3.32</v>
      </c>
      <c r="I70" s="193">
        <f t="shared" si="20"/>
        <v>1.0507166145491278</v>
      </c>
      <c r="J70" s="194">
        <f t="shared" si="2"/>
        <v>26.267915363728196</v>
      </c>
      <c r="K70" s="195">
        <f t="shared" si="11"/>
        <v>83</v>
      </c>
      <c r="L70" s="196">
        <f>+J70-K70</f>
        <v>-56.732084636271807</v>
      </c>
      <c r="M70" s="197">
        <f t="shared" si="7"/>
        <v>-1.9014576137969801</v>
      </c>
      <c r="N70" s="198">
        <f t="shared" si="8"/>
        <v>-58.633542250068786</v>
      </c>
      <c r="O70" s="197">
        <v>0</v>
      </c>
      <c r="P70" s="197">
        <v>0</v>
      </c>
      <c r="Q70" s="197">
        <v>0</v>
      </c>
      <c r="R70" s="198">
        <f t="shared" si="9"/>
        <v>-58.633542250068786</v>
      </c>
    </row>
    <row r="71" spans="1:18" x14ac:dyDescent="0.25">
      <c r="A71" s="113">
        <v>4</v>
      </c>
      <c r="B71" s="189">
        <f t="shared" si="4"/>
        <v>43922</v>
      </c>
      <c r="C71" s="213">
        <f t="shared" si="21"/>
        <v>43956</v>
      </c>
      <c r="D71" s="213">
        <f t="shared" si="21"/>
        <v>43976</v>
      </c>
      <c r="E71" s="199" t="s">
        <v>85</v>
      </c>
      <c r="F71" s="150">
        <v>9</v>
      </c>
      <c r="G71" s="192">
        <v>31</v>
      </c>
      <c r="H71" s="193">
        <f t="shared" si="5"/>
        <v>3.32</v>
      </c>
      <c r="I71" s="193">
        <f t="shared" si="20"/>
        <v>1.0507166145491278</v>
      </c>
      <c r="J71" s="194">
        <f t="shared" si="2"/>
        <v>32.572215051022958</v>
      </c>
      <c r="K71" s="195">
        <f t="shared" si="11"/>
        <v>102.92</v>
      </c>
      <c r="L71" s="196">
        <f t="shared" ref="L71:L79" si="22">+J71-K71</f>
        <v>-70.347784948977051</v>
      </c>
      <c r="M71" s="197">
        <f t="shared" si="7"/>
        <v>-2.357807441108255</v>
      </c>
      <c r="N71" s="198">
        <f t="shared" si="8"/>
        <v>-72.7055923900853</v>
      </c>
      <c r="O71" s="197">
        <v>0</v>
      </c>
      <c r="P71" s="197">
        <v>0</v>
      </c>
      <c r="Q71" s="197">
        <v>0</v>
      </c>
      <c r="R71" s="198">
        <f t="shared" si="9"/>
        <v>-72.7055923900853</v>
      </c>
    </row>
    <row r="72" spans="1:18" x14ac:dyDescent="0.25">
      <c r="A72" s="150">
        <v>5</v>
      </c>
      <c r="B72" s="189">
        <f t="shared" si="4"/>
        <v>43952</v>
      </c>
      <c r="C72" s="213">
        <f t="shared" si="21"/>
        <v>43985</v>
      </c>
      <c r="D72" s="213">
        <f t="shared" si="21"/>
        <v>44006</v>
      </c>
      <c r="E72" s="199" t="s">
        <v>85</v>
      </c>
      <c r="F72" s="150">
        <v>9</v>
      </c>
      <c r="G72" s="192">
        <v>28</v>
      </c>
      <c r="H72" s="193">
        <f t="shared" si="5"/>
        <v>3.32</v>
      </c>
      <c r="I72" s="193">
        <f t="shared" si="20"/>
        <v>1.0507166145491278</v>
      </c>
      <c r="J72" s="194">
        <f t="shared" si="2"/>
        <v>29.420065207375579</v>
      </c>
      <c r="K72" s="195">
        <f t="shared" si="11"/>
        <v>92.96</v>
      </c>
      <c r="L72" s="196">
        <f t="shared" si="22"/>
        <v>-63.539934792624415</v>
      </c>
      <c r="M72" s="197">
        <f t="shared" si="7"/>
        <v>-2.1296325274526176</v>
      </c>
      <c r="N72" s="198">
        <f t="shared" si="8"/>
        <v>-65.669567320077036</v>
      </c>
      <c r="O72" s="197">
        <v>0</v>
      </c>
      <c r="P72" s="197">
        <v>0</v>
      </c>
      <c r="Q72" s="197">
        <v>0</v>
      </c>
      <c r="R72" s="198">
        <f t="shared" si="9"/>
        <v>-65.669567320077036</v>
      </c>
    </row>
    <row r="73" spans="1:18" x14ac:dyDescent="0.25">
      <c r="A73" s="150">
        <v>6</v>
      </c>
      <c r="B73" s="189">
        <f t="shared" si="4"/>
        <v>43983</v>
      </c>
      <c r="C73" s="213">
        <f t="shared" si="21"/>
        <v>44015</v>
      </c>
      <c r="D73" s="213">
        <f t="shared" si="21"/>
        <v>44036</v>
      </c>
      <c r="E73" s="199" t="s">
        <v>85</v>
      </c>
      <c r="F73" s="150">
        <v>9</v>
      </c>
      <c r="G73" s="192">
        <v>46</v>
      </c>
      <c r="H73" s="193">
        <f t="shared" si="5"/>
        <v>3.32</v>
      </c>
      <c r="I73" s="193">
        <f t="shared" si="20"/>
        <v>1.0507166145491278</v>
      </c>
      <c r="J73" s="194">
        <f t="shared" si="2"/>
        <v>48.332964269259875</v>
      </c>
      <c r="K73" s="195">
        <f t="shared" si="11"/>
        <v>152.72</v>
      </c>
      <c r="L73" s="200">
        <f t="shared" si="22"/>
        <v>-104.38703573074012</v>
      </c>
      <c r="M73" s="197">
        <f t="shared" si="7"/>
        <v>-3.4986820093864432</v>
      </c>
      <c r="N73" s="198">
        <f t="shared" si="8"/>
        <v>-107.88571774012657</v>
      </c>
      <c r="O73" s="197">
        <v>0</v>
      </c>
      <c r="P73" s="197">
        <v>0</v>
      </c>
      <c r="Q73" s="197">
        <v>0</v>
      </c>
      <c r="R73" s="198">
        <f t="shared" si="9"/>
        <v>-107.88571774012657</v>
      </c>
    </row>
    <row r="74" spans="1:18" x14ac:dyDescent="0.25">
      <c r="A74" s="113">
        <v>7</v>
      </c>
      <c r="B74" s="189">
        <f t="shared" si="4"/>
        <v>44013</v>
      </c>
      <c r="C74" s="213">
        <f t="shared" si="21"/>
        <v>44048</v>
      </c>
      <c r="D74" s="213">
        <f t="shared" si="21"/>
        <v>44067</v>
      </c>
      <c r="E74" s="199" t="s">
        <v>85</v>
      </c>
      <c r="F74" s="150">
        <v>9</v>
      </c>
      <c r="G74" s="192">
        <v>46</v>
      </c>
      <c r="H74" s="193">
        <f t="shared" si="5"/>
        <v>3.32</v>
      </c>
      <c r="I74" s="193">
        <f t="shared" si="20"/>
        <v>1.0507166145491278</v>
      </c>
      <c r="J74" s="194">
        <f t="shared" si="2"/>
        <v>48.332964269259875</v>
      </c>
      <c r="K74" s="201">
        <f t="shared" si="11"/>
        <v>152.72</v>
      </c>
      <c r="L74" s="200">
        <f t="shared" si="22"/>
        <v>-104.38703573074012</v>
      </c>
      <c r="M74" s="197">
        <f t="shared" si="7"/>
        <v>-3.4986820093864432</v>
      </c>
      <c r="N74" s="198">
        <f t="shared" si="8"/>
        <v>-107.88571774012657</v>
      </c>
      <c r="O74" s="197">
        <v>0</v>
      </c>
      <c r="P74" s="197">
        <v>0</v>
      </c>
      <c r="Q74" s="197">
        <v>0</v>
      </c>
      <c r="R74" s="198">
        <f t="shared" si="9"/>
        <v>-107.88571774012657</v>
      </c>
    </row>
    <row r="75" spans="1:18" x14ac:dyDescent="0.25">
      <c r="A75" s="150">
        <v>8</v>
      </c>
      <c r="B75" s="189">
        <f t="shared" si="4"/>
        <v>44044</v>
      </c>
      <c r="C75" s="213">
        <f t="shared" si="21"/>
        <v>44077</v>
      </c>
      <c r="D75" s="213">
        <f t="shared" si="21"/>
        <v>44098</v>
      </c>
      <c r="E75" s="199" t="s">
        <v>85</v>
      </c>
      <c r="F75" s="150">
        <v>9</v>
      </c>
      <c r="G75" s="192">
        <v>43</v>
      </c>
      <c r="H75" s="193">
        <f t="shared" si="5"/>
        <v>3.32</v>
      </c>
      <c r="I75" s="193">
        <f t="shared" si="20"/>
        <v>1.0507166145491278</v>
      </c>
      <c r="J75" s="194">
        <f t="shared" si="2"/>
        <v>45.180814425612496</v>
      </c>
      <c r="K75" s="201">
        <f t="shared" si="11"/>
        <v>142.76</v>
      </c>
      <c r="L75" s="200">
        <f t="shared" si="22"/>
        <v>-97.579185574387495</v>
      </c>
      <c r="M75" s="197">
        <f t="shared" si="7"/>
        <v>-3.2705070957308058</v>
      </c>
      <c r="N75" s="198">
        <f t="shared" si="8"/>
        <v>-100.8496926701183</v>
      </c>
      <c r="O75" s="197">
        <v>0</v>
      </c>
      <c r="P75" s="197">
        <v>0</v>
      </c>
      <c r="Q75" s="197">
        <v>0</v>
      </c>
      <c r="R75" s="198">
        <f t="shared" si="9"/>
        <v>-100.8496926701183</v>
      </c>
    </row>
    <row r="76" spans="1:18" x14ac:dyDescent="0.25">
      <c r="A76" s="150">
        <v>9</v>
      </c>
      <c r="B76" s="189">
        <f t="shared" si="4"/>
        <v>44075</v>
      </c>
      <c r="C76" s="213">
        <f t="shared" si="21"/>
        <v>44109</v>
      </c>
      <c r="D76" s="213">
        <f t="shared" si="21"/>
        <v>44130</v>
      </c>
      <c r="E76" s="199" t="s">
        <v>85</v>
      </c>
      <c r="F76" s="150">
        <v>9</v>
      </c>
      <c r="G76" s="192">
        <v>41</v>
      </c>
      <c r="H76" s="193">
        <f t="shared" si="5"/>
        <v>3.32</v>
      </c>
      <c r="I76" s="193">
        <f t="shared" si="20"/>
        <v>1.0507166145491278</v>
      </c>
      <c r="J76" s="194">
        <f t="shared" si="2"/>
        <v>43.079381196514241</v>
      </c>
      <c r="K76" s="201">
        <f t="shared" si="11"/>
        <v>136.12</v>
      </c>
      <c r="L76" s="200">
        <f t="shared" si="22"/>
        <v>-93.040618803485756</v>
      </c>
      <c r="M76" s="197">
        <f t="shared" si="7"/>
        <v>-3.1183904866270478</v>
      </c>
      <c r="N76" s="198">
        <f t="shared" si="8"/>
        <v>-96.159009290112806</v>
      </c>
      <c r="O76" s="197">
        <v>0</v>
      </c>
      <c r="P76" s="197">
        <v>0</v>
      </c>
      <c r="Q76" s="197">
        <v>0</v>
      </c>
      <c r="R76" s="198">
        <f t="shared" si="9"/>
        <v>-96.159009290112806</v>
      </c>
    </row>
    <row r="77" spans="1:18" x14ac:dyDescent="0.25">
      <c r="A77" s="113">
        <v>10</v>
      </c>
      <c r="B77" s="189">
        <f t="shared" si="4"/>
        <v>44105</v>
      </c>
      <c r="C77" s="213">
        <f t="shared" si="21"/>
        <v>44139</v>
      </c>
      <c r="D77" s="213">
        <f t="shared" si="21"/>
        <v>44159</v>
      </c>
      <c r="E77" s="199" t="s">
        <v>85</v>
      </c>
      <c r="F77" s="150">
        <v>9</v>
      </c>
      <c r="G77" s="192">
        <v>32</v>
      </c>
      <c r="H77" s="193">
        <f t="shared" si="5"/>
        <v>3.32</v>
      </c>
      <c r="I77" s="193">
        <f t="shared" si="20"/>
        <v>1.0507166145491278</v>
      </c>
      <c r="J77" s="194">
        <f t="shared" si="2"/>
        <v>33.622931665572089</v>
      </c>
      <c r="K77" s="201">
        <f t="shared" si="11"/>
        <v>106.24</v>
      </c>
      <c r="L77" s="200">
        <f t="shared" si="22"/>
        <v>-72.617068334427898</v>
      </c>
      <c r="M77" s="197">
        <f t="shared" si="7"/>
        <v>-2.4338657456601345</v>
      </c>
      <c r="N77" s="198">
        <f t="shared" si="8"/>
        <v>-75.050934080088027</v>
      </c>
      <c r="O77" s="197">
        <v>0</v>
      </c>
      <c r="P77" s="197">
        <v>0</v>
      </c>
      <c r="Q77" s="197">
        <v>0</v>
      </c>
      <c r="R77" s="198">
        <f t="shared" si="9"/>
        <v>-75.050934080088027</v>
      </c>
    </row>
    <row r="78" spans="1:18" x14ac:dyDescent="0.25">
      <c r="A78" s="150">
        <v>11</v>
      </c>
      <c r="B78" s="189">
        <f t="shared" si="4"/>
        <v>44136</v>
      </c>
      <c r="C78" s="213">
        <f t="shared" si="21"/>
        <v>44168</v>
      </c>
      <c r="D78" s="213">
        <f t="shared" si="21"/>
        <v>44189</v>
      </c>
      <c r="E78" s="199" t="s">
        <v>85</v>
      </c>
      <c r="F78" s="150">
        <v>9</v>
      </c>
      <c r="G78" s="192">
        <v>30</v>
      </c>
      <c r="H78" s="193">
        <f t="shared" si="5"/>
        <v>3.32</v>
      </c>
      <c r="I78" s="193">
        <f t="shared" si="20"/>
        <v>1.0507166145491278</v>
      </c>
      <c r="J78" s="194">
        <f t="shared" si="2"/>
        <v>31.521498436473834</v>
      </c>
      <c r="K78" s="201">
        <f>+$G78*H78</f>
        <v>99.6</v>
      </c>
      <c r="L78" s="200">
        <f t="shared" si="22"/>
        <v>-68.07850156352616</v>
      </c>
      <c r="M78" s="197">
        <f t="shared" si="7"/>
        <v>-2.2817491365563765</v>
      </c>
      <c r="N78" s="198">
        <f t="shared" si="8"/>
        <v>-70.360250700082531</v>
      </c>
      <c r="O78" s="197">
        <v>0</v>
      </c>
      <c r="P78" s="197">
        <v>0</v>
      </c>
      <c r="Q78" s="197">
        <v>0</v>
      </c>
      <c r="R78" s="198">
        <f t="shared" si="9"/>
        <v>-70.360250700082531</v>
      </c>
    </row>
    <row r="79" spans="1:18" s="217" customFormat="1" x14ac:dyDescent="0.25">
      <c r="A79" s="150">
        <v>12</v>
      </c>
      <c r="B79" s="215">
        <f t="shared" si="4"/>
        <v>44166</v>
      </c>
      <c r="C79" s="218">
        <f t="shared" si="21"/>
        <v>44202</v>
      </c>
      <c r="D79" s="218">
        <f t="shared" si="21"/>
        <v>44221</v>
      </c>
      <c r="E79" s="219" t="s">
        <v>85</v>
      </c>
      <c r="F79" s="161">
        <v>9</v>
      </c>
      <c r="G79" s="204">
        <v>39</v>
      </c>
      <c r="H79" s="205">
        <f t="shared" si="5"/>
        <v>3.32</v>
      </c>
      <c r="I79" s="205">
        <f t="shared" si="20"/>
        <v>1.0507166145491278</v>
      </c>
      <c r="J79" s="206">
        <f t="shared" si="2"/>
        <v>40.977947967415986</v>
      </c>
      <c r="K79" s="207">
        <f>+$G79*H79</f>
        <v>129.47999999999999</v>
      </c>
      <c r="L79" s="208">
        <f t="shared" si="22"/>
        <v>-88.502052032584004</v>
      </c>
      <c r="M79" s="197">
        <f t="shared" si="7"/>
        <v>-2.9662738775232889</v>
      </c>
      <c r="N79" s="198">
        <f t="shared" si="8"/>
        <v>-91.468325910107296</v>
      </c>
      <c r="O79" s="197">
        <v>0</v>
      </c>
      <c r="P79" s="197">
        <v>0</v>
      </c>
      <c r="Q79" s="197">
        <v>0</v>
      </c>
      <c r="R79" s="198">
        <f t="shared" si="9"/>
        <v>-91.468325910107296</v>
      </c>
    </row>
    <row r="80" spans="1:18" s="52" customFormat="1" ht="12.75" customHeight="1" x14ac:dyDescent="0.25">
      <c r="A80" s="113">
        <v>1</v>
      </c>
      <c r="B80" s="189">
        <f t="shared" si="4"/>
        <v>43831</v>
      </c>
      <c r="C80" s="210">
        <f t="shared" ref="C80:D91" si="23">+C56</f>
        <v>43866</v>
      </c>
      <c r="D80" s="210">
        <f t="shared" si="23"/>
        <v>43885</v>
      </c>
      <c r="E80" s="191" t="s">
        <v>9</v>
      </c>
      <c r="F80" s="113">
        <v>9</v>
      </c>
      <c r="G80" s="192">
        <v>40</v>
      </c>
      <c r="H80" s="193">
        <f t="shared" si="5"/>
        <v>3.32</v>
      </c>
      <c r="I80" s="193">
        <f t="shared" si="20"/>
        <v>1.0507166145491278</v>
      </c>
      <c r="J80" s="194">
        <f t="shared" si="2"/>
        <v>42.02866458196511</v>
      </c>
      <c r="K80" s="195">
        <f t="shared" si="11"/>
        <v>132.79999999999998</v>
      </c>
      <c r="L80" s="196">
        <f t="shared" si="19"/>
        <v>-90.77133541803488</v>
      </c>
      <c r="M80" s="197">
        <f t="shared" si="7"/>
        <v>-3.0423321820751683</v>
      </c>
      <c r="N80" s="198">
        <f t="shared" si="8"/>
        <v>-93.813667600110051</v>
      </c>
      <c r="O80" s="197">
        <v>0</v>
      </c>
      <c r="P80" s="197">
        <v>0</v>
      </c>
      <c r="Q80" s="197">
        <v>0</v>
      </c>
      <c r="R80" s="198">
        <f t="shared" si="9"/>
        <v>-93.813667600110051</v>
      </c>
    </row>
    <row r="81" spans="1:18" x14ac:dyDescent="0.25">
      <c r="A81" s="150">
        <v>2</v>
      </c>
      <c r="B81" s="189">
        <f t="shared" si="4"/>
        <v>43862</v>
      </c>
      <c r="C81" s="213">
        <f t="shared" si="23"/>
        <v>43894</v>
      </c>
      <c r="D81" s="213">
        <f t="shared" si="23"/>
        <v>43914</v>
      </c>
      <c r="E81" s="199" t="s">
        <v>9</v>
      </c>
      <c r="F81" s="150">
        <v>9</v>
      </c>
      <c r="G81" s="192">
        <v>42</v>
      </c>
      <c r="H81" s="193">
        <f t="shared" si="5"/>
        <v>3.32</v>
      </c>
      <c r="I81" s="193">
        <f t="shared" si="20"/>
        <v>1.0507166145491278</v>
      </c>
      <c r="J81" s="194">
        <f t="shared" si="2"/>
        <v>44.130097811063365</v>
      </c>
      <c r="K81" s="195">
        <f t="shared" si="11"/>
        <v>139.44</v>
      </c>
      <c r="L81" s="196">
        <f t="shared" si="19"/>
        <v>-95.309902188936633</v>
      </c>
      <c r="M81" s="197">
        <f t="shared" si="7"/>
        <v>-3.1944487911789263</v>
      </c>
      <c r="N81" s="198">
        <f t="shared" si="8"/>
        <v>-98.504350980115561</v>
      </c>
      <c r="O81" s="197">
        <v>0</v>
      </c>
      <c r="P81" s="197">
        <v>0</v>
      </c>
      <c r="Q81" s="197">
        <v>0</v>
      </c>
      <c r="R81" s="198">
        <f t="shared" si="9"/>
        <v>-98.504350980115561</v>
      </c>
    </row>
    <row r="82" spans="1:18" x14ac:dyDescent="0.25">
      <c r="A82" s="150">
        <v>3</v>
      </c>
      <c r="B82" s="189">
        <f t="shared" si="4"/>
        <v>43891</v>
      </c>
      <c r="C82" s="213">
        <f t="shared" si="23"/>
        <v>43924</v>
      </c>
      <c r="D82" s="213">
        <f t="shared" si="23"/>
        <v>43945</v>
      </c>
      <c r="E82" s="199" t="s">
        <v>9</v>
      </c>
      <c r="F82" s="150">
        <v>9</v>
      </c>
      <c r="G82" s="192">
        <v>29</v>
      </c>
      <c r="H82" s="193">
        <f t="shared" si="5"/>
        <v>3.32</v>
      </c>
      <c r="I82" s="193">
        <f t="shared" si="20"/>
        <v>1.0507166145491278</v>
      </c>
      <c r="J82" s="194">
        <f t="shared" si="2"/>
        <v>30.470781821924707</v>
      </c>
      <c r="K82" s="195">
        <f t="shared" si="11"/>
        <v>96.28</v>
      </c>
      <c r="L82" s="196">
        <f>+J82-K82</f>
        <v>-65.809218178075298</v>
      </c>
      <c r="M82" s="197">
        <f t="shared" si="7"/>
        <v>-2.205690832004497</v>
      </c>
      <c r="N82" s="198">
        <f t="shared" si="8"/>
        <v>-68.014909010079791</v>
      </c>
      <c r="O82" s="197">
        <v>0</v>
      </c>
      <c r="P82" s="197">
        <v>0</v>
      </c>
      <c r="Q82" s="197">
        <v>0</v>
      </c>
      <c r="R82" s="198">
        <f t="shared" si="9"/>
        <v>-68.014909010079791</v>
      </c>
    </row>
    <row r="83" spans="1:18" ht="12" customHeight="1" x14ac:dyDescent="0.25">
      <c r="A83" s="113">
        <v>4</v>
      </c>
      <c r="B83" s="189">
        <f t="shared" si="4"/>
        <v>43922</v>
      </c>
      <c r="C83" s="213">
        <f t="shared" si="23"/>
        <v>43956</v>
      </c>
      <c r="D83" s="213">
        <f t="shared" si="23"/>
        <v>43976</v>
      </c>
      <c r="E83" s="54" t="s">
        <v>9</v>
      </c>
      <c r="F83" s="150">
        <v>9</v>
      </c>
      <c r="G83" s="192">
        <v>32</v>
      </c>
      <c r="H83" s="193">
        <f t="shared" si="5"/>
        <v>3.32</v>
      </c>
      <c r="I83" s="193">
        <f t="shared" si="20"/>
        <v>1.0507166145491278</v>
      </c>
      <c r="J83" s="194">
        <f t="shared" si="2"/>
        <v>33.622931665572089</v>
      </c>
      <c r="K83" s="195">
        <f t="shared" si="11"/>
        <v>106.24</v>
      </c>
      <c r="L83" s="196">
        <f t="shared" ref="L83:L93" si="24">+J83-K83</f>
        <v>-72.617068334427898</v>
      </c>
      <c r="M83" s="197">
        <f t="shared" si="7"/>
        <v>-2.4338657456601345</v>
      </c>
      <c r="N83" s="198">
        <f t="shared" si="8"/>
        <v>-75.050934080088027</v>
      </c>
      <c r="O83" s="197">
        <v>0</v>
      </c>
      <c r="P83" s="197">
        <v>0</v>
      </c>
      <c r="Q83" s="197">
        <v>0</v>
      </c>
      <c r="R83" s="198">
        <f t="shared" si="9"/>
        <v>-75.050934080088027</v>
      </c>
    </row>
    <row r="84" spans="1:18" ht="12" customHeight="1" x14ac:dyDescent="0.25">
      <c r="A84" s="150">
        <v>5</v>
      </c>
      <c r="B84" s="189">
        <f t="shared" si="4"/>
        <v>43952</v>
      </c>
      <c r="C84" s="213">
        <f t="shared" si="23"/>
        <v>43985</v>
      </c>
      <c r="D84" s="213">
        <f t="shared" si="23"/>
        <v>44006</v>
      </c>
      <c r="E84" s="54" t="s">
        <v>9</v>
      </c>
      <c r="F84" s="150">
        <v>9</v>
      </c>
      <c r="G84" s="192">
        <v>24</v>
      </c>
      <c r="H84" s="193">
        <f t="shared" si="5"/>
        <v>3.32</v>
      </c>
      <c r="I84" s="193">
        <f t="shared" si="20"/>
        <v>1.0507166145491278</v>
      </c>
      <c r="J84" s="194">
        <f t="shared" si="2"/>
        <v>25.217198749179069</v>
      </c>
      <c r="K84" s="195">
        <f t="shared" si="11"/>
        <v>79.679999999999993</v>
      </c>
      <c r="L84" s="196">
        <f t="shared" si="24"/>
        <v>-54.462801250820924</v>
      </c>
      <c r="M84" s="197">
        <f t="shared" si="7"/>
        <v>-1.8253993092451009</v>
      </c>
      <c r="N84" s="198">
        <f t="shared" si="8"/>
        <v>-56.288200560066024</v>
      </c>
      <c r="O84" s="197">
        <v>0</v>
      </c>
      <c r="P84" s="197">
        <v>0</v>
      </c>
      <c r="Q84" s="197">
        <v>0</v>
      </c>
      <c r="R84" s="198">
        <f t="shared" si="9"/>
        <v>-56.288200560066024</v>
      </c>
    </row>
    <row r="85" spans="1:18" x14ac:dyDescent="0.25">
      <c r="A85" s="150">
        <v>6</v>
      </c>
      <c r="B85" s="189">
        <f t="shared" si="4"/>
        <v>43983</v>
      </c>
      <c r="C85" s="213">
        <f t="shared" si="23"/>
        <v>44015</v>
      </c>
      <c r="D85" s="213">
        <f t="shared" si="23"/>
        <v>44036</v>
      </c>
      <c r="E85" s="54" t="s">
        <v>9</v>
      </c>
      <c r="F85" s="150">
        <v>9</v>
      </c>
      <c r="G85" s="192">
        <v>32</v>
      </c>
      <c r="H85" s="193">
        <f t="shared" ref="H85:H148" si="25">+$K$3</f>
        <v>3.32</v>
      </c>
      <c r="I85" s="193">
        <f t="shared" si="20"/>
        <v>1.0507166145491278</v>
      </c>
      <c r="J85" s="194">
        <f t="shared" si="2"/>
        <v>33.622931665572089</v>
      </c>
      <c r="K85" s="195">
        <f t="shared" si="11"/>
        <v>106.24</v>
      </c>
      <c r="L85" s="200">
        <f t="shared" si="24"/>
        <v>-72.617068334427898</v>
      </c>
      <c r="M85" s="197">
        <f t="shared" ref="M85:M148" si="26">G85/$G$212*$M$14</f>
        <v>-2.4338657456601345</v>
      </c>
      <c r="N85" s="198">
        <f t="shared" ref="N85:N148" si="27">SUM(L85:M85)</f>
        <v>-75.050934080088027</v>
      </c>
      <c r="O85" s="197">
        <v>0</v>
      </c>
      <c r="P85" s="197">
        <v>0</v>
      </c>
      <c r="Q85" s="197">
        <v>0</v>
      </c>
      <c r="R85" s="198">
        <f t="shared" ref="R85:R148" si="28">+N85-Q85</f>
        <v>-75.050934080088027</v>
      </c>
    </row>
    <row r="86" spans="1:18" x14ac:dyDescent="0.25">
      <c r="A86" s="113">
        <v>7</v>
      </c>
      <c r="B86" s="189">
        <f t="shared" si="4"/>
        <v>44013</v>
      </c>
      <c r="C86" s="213">
        <f t="shared" si="23"/>
        <v>44048</v>
      </c>
      <c r="D86" s="213">
        <f t="shared" si="23"/>
        <v>44067</v>
      </c>
      <c r="E86" s="54" t="s">
        <v>9</v>
      </c>
      <c r="F86" s="150">
        <v>9</v>
      </c>
      <c r="G86" s="192">
        <v>42</v>
      </c>
      <c r="H86" s="193">
        <f t="shared" si="25"/>
        <v>3.32</v>
      </c>
      <c r="I86" s="193">
        <f t="shared" si="20"/>
        <v>1.0507166145491278</v>
      </c>
      <c r="J86" s="194">
        <f t="shared" si="2"/>
        <v>44.130097811063365</v>
      </c>
      <c r="K86" s="201">
        <f t="shared" si="11"/>
        <v>139.44</v>
      </c>
      <c r="L86" s="200">
        <f t="shared" si="24"/>
        <v>-95.309902188936633</v>
      </c>
      <c r="M86" s="197">
        <f t="shared" si="26"/>
        <v>-3.1944487911789263</v>
      </c>
      <c r="N86" s="198">
        <f t="shared" si="27"/>
        <v>-98.504350980115561</v>
      </c>
      <c r="O86" s="197">
        <v>0</v>
      </c>
      <c r="P86" s="197">
        <v>0</v>
      </c>
      <c r="Q86" s="197">
        <v>0</v>
      </c>
      <c r="R86" s="198">
        <f t="shared" si="28"/>
        <v>-98.504350980115561</v>
      </c>
    </row>
    <row r="87" spans="1:18" x14ac:dyDescent="0.25">
      <c r="A87" s="150">
        <v>8</v>
      </c>
      <c r="B87" s="189">
        <f t="shared" si="4"/>
        <v>44044</v>
      </c>
      <c r="C87" s="213">
        <f t="shared" si="23"/>
        <v>44077</v>
      </c>
      <c r="D87" s="213">
        <f t="shared" si="23"/>
        <v>44098</v>
      </c>
      <c r="E87" s="54" t="s">
        <v>9</v>
      </c>
      <c r="F87" s="150">
        <v>9</v>
      </c>
      <c r="G87" s="192">
        <v>39</v>
      </c>
      <c r="H87" s="193">
        <f t="shared" si="25"/>
        <v>3.32</v>
      </c>
      <c r="I87" s="193">
        <f t="shared" si="20"/>
        <v>1.0507166145491278</v>
      </c>
      <c r="J87" s="194">
        <f t="shared" si="2"/>
        <v>40.977947967415986</v>
      </c>
      <c r="K87" s="201">
        <f t="shared" si="11"/>
        <v>129.47999999999999</v>
      </c>
      <c r="L87" s="200">
        <f t="shared" si="24"/>
        <v>-88.502052032584004</v>
      </c>
      <c r="M87" s="197">
        <f t="shared" si="26"/>
        <v>-2.9662738775232889</v>
      </c>
      <c r="N87" s="198">
        <f t="shared" si="27"/>
        <v>-91.468325910107296</v>
      </c>
      <c r="O87" s="197">
        <v>0</v>
      </c>
      <c r="P87" s="197">
        <v>0</v>
      </c>
      <c r="Q87" s="197">
        <v>0</v>
      </c>
      <c r="R87" s="198">
        <f t="shared" si="28"/>
        <v>-91.468325910107296</v>
      </c>
    </row>
    <row r="88" spans="1:18" x14ac:dyDescent="0.25">
      <c r="A88" s="150">
        <v>9</v>
      </c>
      <c r="B88" s="189">
        <f t="shared" si="4"/>
        <v>44075</v>
      </c>
      <c r="C88" s="213">
        <f t="shared" si="23"/>
        <v>44109</v>
      </c>
      <c r="D88" s="213">
        <f t="shared" si="23"/>
        <v>44130</v>
      </c>
      <c r="E88" s="54" t="s">
        <v>9</v>
      </c>
      <c r="F88" s="150">
        <v>9</v>
      </c>
      <c r="G88" s="192">
        <v>36</v>
      </c>
      <c r="H88" s="193">
        <f t="shared" si="25"/>
        <v>3.32</v>
      </c>
      <c r="I88" s="193">
        <f t="shared" si="20"/>
        <v>1.0507166145491278</v>
      </c>
      <c r="J88" s="194">
        <f t="shared" si="2"/>
        <v>37.8257981237686</v>
      </c>
      <c r="K88" s="201">
        <f t="shared" si="11"/>
        <v>119.52</v>
      </c>
      <c r="L88" s="200">
        <f t="shared" si="24"/>
        <v>-81.694201876231404</v>
      </c>
      <c r="M88" s="197">
        <f t="shared" si="26"/>
        <v>-2.7380989638676514</v>
      </c>
      <c r="N88" s="198">
        <f t="shared" si="27"/>
        <v>-84.43230084009906</v>
      </c>
      <c r="O88" s="197">
        <v>0</v>
      </c>
      <c r="P88" s="197">
        <v>0</v>
      </c>
      <c r="Q88" s="197">
        <v>0</v>
      </c>
      <c r="R88" s="198">
        <f t="shared" si="28"/>
        <v>-84.43230084009906</v>
      </c>
    </row>
    <row r="89" spans="1:18" x14ac:dyDescent="0.25">
      <c r="A89" s="113">
        <v>10</v>
      </c>
      <c r="B89" s="189">
        <f t="shared" si="4"/>
        <v>44105</v>
      </c>
      <c r="C89" s="213">
        <f t="shared" si="23"/>
        <v>44139</v>
      </c>
      <c r="D89" s="213">
        <f t="shared" si="23"/>
        <v>44159</v>
      </c>
      <c r="E89" s="54" t="s">
        <v>9</v>
      </c>
      <c r="F89" s="150">
        <v>9</v>
      </c>
      <c r="G89" s="192">
        <v>34</v>
      </c>
      <c r="H89" s="193">
        <f t="shared" si="25"/>
        <v>3.32</v>
      </c>
      <c r="I89" s="193">
        <f t="shared" si="20"/>
        <v>1.0507166145491278</v>
      </c>
      <c r="J89" s="194">
        <f t="shared" si="2"/>
        <v>35.724364894670344</v>
      </c>
      <c r="K89" s="201">
        <f t="shared" si="11"/>
        <v>112.88</v>
      </c>
      <c r="L89" s="200">
        <f t="shared" si="24"/>
        <v>-77.155635105329651</v>
      </c>
      <c r="M89" s="197">
        <f t="shared" si="26"/>
        <v>-2.5859823547638929</v>
      </c>
      <c r="N89" s="198">
        <f t="shared" si="27"/>
        <v>-79.741617460093551</v>
      </c>
      <c r="O89" s="197">
        <v>0</v>
      </c>
      <c r="P89" s="197">
        <v>0</v>
      </c>
      <c r="Q89" s="197">
        <v>0</v>
      </c>
      <c r="R89" s="198">
        <f t="shared" si="28"/>
        <v>-79.741617460093551</v>
      </c>
    </row>
    <row r="90" spans="1:18" x14ac:dyDescent="0.25">
      <c r="A90" s="150">
        <v>11</v>
      </c>
      <c r="B90" s="189">
        <f t="shared" si="4"/>
        <v>44136</v>
      </c>
      <c r="C90" s="213">
        <f t="shared" si="23"/>
        <v>44168</v>
      </c>
      <c r="D90" s="213">
        <f t="shared" si="23"/>
        <v>44189</v>
      </c>
      <c r="E90" s="54" t="s">
        <v>9</v>
      </c>
      <c r="F90" s="150">
        <v>9</v>
      </c>
      <c r="G90" s="192">
        <v>37</v>
      </c>
      <c r="H90" s="193">
        <f t="shared" si="25"/>
        <v>3.32</v>
      </c>
      <c r="I90" s="193">
        <f t="shared" si="20"/>
        <v>1.0507166145491278</v>
      </c>
      <c r="J90" s="194">
        <f t="shared" si="2"/>
        <v>38.876514738317731</v>
      </c>
      <c r="K90" s="201">
        <f t="shared" si="11"/>
        <v>122.83999999999999</v>
      </c>
      <c r="L90" s="200">
        <f t="shared" si="24"/>
        <v>-83.963485261682251</v>
      </c>
      <c r="M90" s="197">
        <f t="shared" si="26"/>
        <v>-2.8141572684195308</v>
      </c>
      <c r="N90" s="198">
        <f t="shared" si="27"/>
        <v>-86.777642530101787</v>
      </c>
      <c r="O90" s="197">
        <v>0</v>
      </c>
      <c r="P90" s="197">
        <v>0</v>
      </c>
      <c r="Q90" s="197">
        <v>0</v>
      </c>
      <c r="R90" s="198">
        <f t="shared" si="28"/>
        <v>-86.777642530101787</v>
      </c>
    </row>
    <row r="91" spans="1:18" s="217" customFormat="1" x14ac:dyDescent="0.25">
      <c r="A91" s="150">
        <v>12</v>
      </c>
      <c r="B91" s="215">
        <f t="shared" si="4"/>
        <v>44166</v>
      </c>
      <c r="C91" s="213">
        <f t="shared" si="23"/>
        <v>44202</v>
      </c>
      <c r="D91" s="213">
        <f t="shared" si="23"/>
        <v>44221</v>
      </c>
      <c r="E91" s="216" t="s">
        <v>9</v>
      </c>
      <c r="F91" s="161">
        <v>9</v>
      </c>
      <c r="G91" s="204">
        <v>41</v>
      </c>
      <c r="H91" s="205">
        <f t="shared" si="25"/>
        <v>3.32</v>
      </c>
      <c r="I91" s="205">
        <f t="shared" si="20"/>
        <v>1.0507166145491278</v>
      </c>
      <c r="J91" s="206">
        <f t="shared" si="2"/>
        <v>43.079381196514241</v>
      </c>
      <c r="K91" s="207">
        <f t="shared" si="11"/>
        <v>136.12</v>
      </c>
      <c r="L91" s="208">
        <f t="shared" si="24"/>
        <v>-93.040618803485756</v>
      </c>
      <c r="M91" s="197">
        <f t="shared" si="26"/>
        <v>-3.1183904866270478</v>
      </c>
      <c r="N91" s="198">
        <f t="shared" si="27"/>
        <v>-96.159009290112806</v>
      </c>
      <c r="O91" s="197">
        <v>0</v>
      </c>
      <c r="P91" s="197">
        <v>0</v>
      </c>
      <c r="Q91" s="197">
        <v>0</v>
      </c>
      <c r="R91" s="198">
        <f t="shared" si="28"/>
        <v>-96.159009290112806</v>
      </c>
    </row>
    <row r="92" spans="1:18" x14ac:dyDescent="0.25">
      <c r="A92" s="113">
        <v>1</v>
      </c>
      <c r="B92" s="189">
        <f t="shared" si="4"/>
        <v>43831</v>
      </c>
      <c r="C92" s="210">
        <f t="shared" ref="C92:D95" si="29">+C80</f>
        <v>43866</v>
      </c>
      <c r="D92" s="210">
        <f t="shared" si="29"/>
        <v>43885</v>
      </c>
      <c r="E92" s="191" t="s">
        <v>8</v>
      </c>
      <c r="F92" s="113">
        <v>9</v>
      </c>
      <c r="G92" s="192">
        <v>76</v>
      </c>
      <c r="H92" s="193">
        <f t="shared" si="25"/>
        <v>3.32</v>
      </c>
      <c r="I92" s="193">
        <f t="shared" si="20"/>
        <v>1.0507166145491278</v>
      </c>
      <c r="J92" s="194">
        <f t="shared" si="2"/>
        <v>79.85446270573371</v>
      </c>
      <c r="K92" s="195">
        <f t="shared" si="11"/>
        <v>252.32</v>
      </c>
      <c r="L92" s="196">
        <f t="shared" si="24"/>
        <v>-172.46553729426628</v>
      </c>
      <c r="M92" s="197">
        <f t="shared" si="26"/>
        <v>-5.7804311459428197</v>
      </c>
      <c r="N92" s="198">
        <f t="shared" si="27"/>
        <v>-178.24596844020911</v>
      </c>
      <c r="O92" s="197">
        <v>0</v>
      </c>
      <c r="P92" s="197">
        <v>0</v>
      </c>
      <c r="Q92" s="197">
        <v>0</v>
      </c>
      <c r="R92" s="198">
        <f t="shared" si="28"/>
        <v>-178.24596844020911</v>
      </c>
    </row>
    <row r="93" spans="1:18" x14ac:dyDescent="0.25">
      <c r="A93" s="150">
        <v>2</v>
      </c>
      <c r="B93" s="189">
        <f t="shared" si="4"/>
        <v>43862</v>
      </c>
      <c r="C93" s="213">
        <f t="shared" si="29"/>
        <v>43894</v>
      </c>
      <c r="D93" s="213">
        <f t="shared" si="29"/>
        <v>43914</v>
      </c>
      <c r="E93" s="199" t="s">
        <v>8</v>
      </c>
      <c r="F93" s="150">
        <v>9</v>
      </c>
      <c r="G93" s="192">
        <v>77</v>
      </c>
      <c r="H93" s="193">
        <f t="shared" si="25"/>
        <v>3.32</v>
      </c>
      <c r="I93" s="193">
        <f t="shared" si="20"/>
        <v>1.0507166145491278</v>
      </c>
      <c r="J93" s="194">
        <f t="shared" si="2"/>
        <v>80.905179320282841</v>
      </c>
      <c r="K93" s="195">
        <f t="shared" si="11"/>
        <v>255.64</v>
      </c>
      <c r="L93" s="196">
        <f t="shared" si="24"/>
        <v>-174.73482067971713</v>
      </c>
      <c r="M93" s="197">
        <f t="shared" si="26"/>
        <v>-5.8564894504946983</v>
      </c>
      <c r="N93" s="198">
        <f t="shared" si="27"/>
        <v>-180.59131013021184</v>
      </c>
      <c r="O93" s="197">
        <v>0</v>
      </c>
      <c r="P93" s="197">
        <v>0</v>
      </c>
      <c r="Q93" s="197">
        <v>0</v>
      </c>
      <c r="R93" s="198">
        <f t="shared" si="28"/>
        <v>-180.59131013021184</v>
      </c>
    </row>
    <row r="94" spans="1:18" x14ac:dyDescent="0.25">
      <c r="A94" s="150">
        <v>3</v>
      </c>
      <c r="B94" s="189">
        <f t="shared" si="4"/>
        <v>43891</v>
      </c>
      <c r="C94" s="213">
        <f t="shared" si="29"/>
        <v>43924</v>
      </c>
      <c r="D94" s="213">
        <f t="shared" si="29"/>
        <v>43945</v>
      </c>
      <c r="E94" s="199" t="s">
        <v>8</v>
      </c>
      <c r="F94" s="150">
        <v>9</v>
      </c>
      <c r="G94" s="192">
        <v>85</v>
      </c>
      <c r="H94" s="193">
        <f t="shared" si="25"/>
        <v>3.32</v>
      </c>
      <c r="I94" s="193">
        <f t="shared" si="20"/>
        <v>1.0507166145491278</v>
      </c>
      <c r="J94" s="194">
        <f t="shared" si="2"/>
        <v>89.310912236675861</v>
      </c>
      <c r="K94" s="195">
        <f t="shared" ref="K94:K133" si="30">+$G94*H94</f>
        <v>282.2</v>
      </c>
      <c r="L94" s="196">
        <f>+J94-K94</f>
        <v>-192.88908776332414</v>
      </c>
      <c r="M94" s="197">
        <f t="shared" si="26"/>
        <v>-6.4649558869097321</v>
      </c>
      <c r="N94" s="198">
        <f t="shared" si="27"/>
        <v>-199.35404365023388</v>
      </c>
      <c r="O94" s="197">
        <v>0</v>
      </c>
      <c r="P94" s="197">
        <v>0</v>
      </c>
      <c r="Q94" s="197">
        <v>0</v>
      </c>
      <c r="R94" s="198">
        <f t="shared" si="28"/>
        <v>-199.35404365023388</v>
      </c>
    </row>
    <row r="95" spans="1:18" x14ac:dyDescent="0.25">
      <c r="A95" s="113">
        <v>4</v>
      </c>
      <c r="B95" s="189">
        <f t="shared" si="4"/>
        <v>43922</v>
      </c>
      <c r="C95" s="213">
        <f t="shared" si="29"/>
        <v>43956</v>
      </c>
      <c r="D95" s="213">
        <f t="shared" si="29"/>
        <v>43976</v>
      </c>
      <c r="E95" s="199" t="s">
        <v>8</v>
      </c>
      <c r="F95" s="150">
        <v>9</v>
      </c>
      <c r="G95" s="192">
        <v>82</v>
      </c>
      <c r="H95" s="193">
        <f t="shared" si="25"/>
        <v>3.32</v>
      </c>
      <c r="I95" s="193">
        <f t="shared" si="20"/>
        <v>1.0507166145491278</v>
      </c>
      <c r="J95" s="194">
        <f t="shared" si="2"/>
        <v>86.158762393028482</v>
      </c>
      <c r="K95" s="195">
        <f t="shared" si="30"/>
        <v>272.24</v>
      </c>
      <c r="L95" s="196">
        <f t="shared" ref="L95:L105" si="31">+J95-K95</f>
        <v>-186.08123760697151</v>
      </c>
      <c r="M95" s="197">
        <f t="shared" si="26"/>
        <v>-6.2367809732540955</v>
      </c>
      <c r="N95" s="198">
        <f t="shared" si="27"/>
        <v>-192.31801858022561</v>
      </c>
      <c r="O95" s="197">
        <v>0</v>
      </c>
      <c r="P95" s="197">
        <v>0</v>
      </c>
      <c r="Q95" s="197">
        <v>0</v>
      </c>
      <c r="R95" s="198">
        <f t="shared" si="28"/>
        <v>-192.31801858022561</v>
      </c>
    </row>
    <row r="96" spans="1:18" x14ac:dyDescent="0.25">
      <c r="A96" s="150">
        <v>5</v>
      </c>
      <c r="B96" s="189">
        <f t="shared" si="4"/>
        <v>43952</v>
      </c>
      <c r="C96" s="213">
        <f t="shared" ref="C96:D116" si="32">+C84</f>
        <v>43985</v>
      </c>
      <c r="D96" s="213">
        <f t="shared" si="32"/>
        <v>44006</v>
      </c>
      <c r="E96" s="54" t="s">
        <v>8</v>
      </c>
      <c r="F96" s="150">
        <v>9</v>
      </c>
      <c r="G96" s="192">
        <v>117</v>
      </c>
      <c r="H96" s="193">
        <f t="shared" si="25"/>
        <v>3.32</v>
      </c>
      <c r="I96" s="193">
        <f t="shared" si="20"/>
        <v>1.0507166145491278</v>
      </c>
      <c r="J96" s="194">
        <f t="shared" si="2"/>
        <v>122.93384390224796</v>
      </c>
      <c r="K96" s="195">
        <f t="shared" si="30"/>
        <v>388.44</v>
      </c>
      <c r="L96" s="196">
        <f t="shared" si="31"/>
        <v>-265.50615609775207</v>
      </c>
      <c r="M96" s="197">
        <f t="shared" si="26"/>
        <v>-8.8988216325698666</v>
      </c>
      <c r="N96" s="198">
        <f t="shared" si="27"/>
        <v>-274.40497773032195</v>
      </c>
      <c r="O96" s="197">
        <v>0</v>
      </c>
      <c r="P96" s="197">
        <v>0</v>
      </c>
      <c r="Q96" s="197">
        <v>0</v>
      </c>
      <c r="R96" s="198">
        <f t="shared" si="28"/>
        <v>-274.40497773032195</v>
      </c>
    </row>
    <row r="97" spans="1:18" x14ac:dyDescent="0.25">
      <c r="A97" s="150">
        <v>6</v>
      </c>
      <c r="B97" s="189">
        <f t="shared" si="4"/>
        <v>43983</v>
      </c>
      <c r="C97" s="213">
        <f t="shared" si="32"/>
        <v>44015</v>
      </c>
      <c r="D97" s="213">
        <f t="shared" si="32"/>
        <v>44036</v>
      </c>
      <c r="E97" s="54" t="s">
        <v>8</v>
      </c>
      <c r="F97" s="150">
        <v>9</v>
      </c>
      <c r="G97" s="192">
        <v>131</v>
      </c>
      <c r="H97" s="193">
        <f t="shared" si="25"/>
        <v>3.32</v>
      </c>
      <c r="I97" s="193">
        <f t="shared" si="20"/>
        <v>1.0507166145491278</v>
      </c>
      <c r="J97" s="194">
        <f t="shared" si="2"/>
        <v>137.64387650593574</v>
      </c>
      <c r="K97" s="195">
        <f t="shared" si="30"/>
        <v>434.91999999999996</v>
      </c>
      <c r="L97" s="200">
        <f t="shared" si="31"/>
        <v>-297.27612349406422</v>
      </c>
      <c r="M97" s="197">
        <f t="shared" si="26"/>
        <v>-9.9636378962961754</v>
      </c>
      <c r="N97" s="198">
        <f t="shared" si="27"/>
        <v>-307.2397613903604</v>
      </c>
      <c r="O97" s="197">
        <v>0</v>
      </c>
      <c r="P97" s="197">
        <v>0</v>
      </c>
      <c r="Q97" s="197">
        <v>0</v>
      </c>
      <c r="R97" s="198">
        <f t="shared" si="28"/>
        <v>-307.2397613903604</v>
      </c>
    </row>
    <row r="98" spans="1:18" x14ac:dyDescent="0.25">
      <c r="A98" s="113">
        <v>7</v>
      </c>
      <c r="B98" s="189">
        <f t="shared" si="4"/>
        <v>44013</v>
      </c>
      <c r="C98" s="213">
        <f t="shared" si="32"/>
        <v>44048</v>
      </c>
      <c r="D98" s="213">
        <f t="shared" si="32"/>
        <v>44067</v>
      </c>
      <c r="E98" s="54" t="s">
        <v>8</v>
      </c>
      <c r="F98" s="150">
        <v>9</v>
      </c>
      <c r="G98" s="192">
        <v>147</v>
      </c>
      <c r="H98" s="193">
        <f t="shared" si="25"/>
        <v>3.32</v>
      </c>
      <c r="I98" s="193">
        <f t="shared" si="20"/>
        <v>1.0507166145491278</v>
      </c>
      <c r="J98" s="194">
        <f t="shared" si="2"/>
        <v>154.45534233872178</v>
      </c>
      <c r="K98" s="201">
        <f t="shared" si="30"/>
        <v>488.03999999999996</v>
      </c>
      <c r="L98" s="200">
        <f t="shared" si="31"/>
        <v>-333.58465766127819</v>
      </c>
      <c r="M98" s="197">
        <f t="shared" si="26"/>
        <v>-11.180570769126243</v>
      </c>
      <c r="N98" s="198">
        <f t="shared" si="27"/>
        <v>-344.76522843040442</v>
      </c>
      <c r="O98" s="197">
        <v>0</v>
      </c>
      <c r="P98" s="197">
        <v>0</v>
      </c>
      <c r="Q98" s="197">
        <v>0</v>
      </c>
      <c r="R98" s="198">
        <f t="shared" si="28"/>
        <v>-344.76522843040442</v>
      </c>
    </row>
    <row r="99" spans="1:18" x14ac:dyDescent="0.25">
      <c r="A99" s="150">
        <v>8</v>
      </c>
      <c r="B99" s="189">
        <f t="shared" si="4"/>
        <v>44044</v>
      </c>
      <c r="C99" s="213">
        <f t="shared" si="32"/>
        <v>44077</v>
      </c>
      <c r="D99" s="213">
        <f t="shared" si="32"/>
        <v>44098</v>
      </c>
      <c r="E99" s="54" t="s">
        <v>8</v>
      </c>
      <c r="F99" s="150">
        <v>9</v>
      </c>
      <c r="G99" s="192">
        <v>141</v>
      </c>
      <c r="H99" s="193">
        <f t="shared" si="25"/>
        <v>3.32</v>
      </c>
      <c r="I99" s="193">
        <f t="shared" si="20"/>
        <v>1.0507166145491278</v>
      </c>
      <c r="J99" s="194">
        <f t="shared" si="2"/>
        <v>148.15104265142702</v>
      </c>
      <c r="K99" s="201">
        <f t="shared" si="30"/>
        <v>468.12</v>
      </c>
      <c r="L99" s="200">
        <f t="shared" si="31"/>
        <v>-319.96895734857299</v>
      </c>
      <c r="M99" s="197">
        <f t="shared" si="26"/>
        <v>-10.724220941814968</v>
      </c>
      <c r="N99" s="198">
        <f t="shared" si="27"/>
        <v>-330.69317829038795</v>
      </c>
      <c r="O99" s="197">
        <v>0</v>
      </c>
      <c r="P99" s="197">
        <v>0</v>
      </c>
      <c r="Q99" s="197">
        <v>0</v>
      </c>
      <c r="R99" s="198">
        <f t="shared" si="28"/>
        <v>-330.69317829038795</v>
      </c>
    </row>
    <row r="100" spans="1:18" x14ac:dyDescent="0.25">
      <c r="A100" s="150">
        <v>9</v>
      </c>
      <c r="B100" s="189">
        <f t="shared" si="4"/>
        <v>44075</v>
      </c>
      <c r="C100" s="213">
        <f t="shared" si="32"/>
        <v>44109</v>
      </c>
      <c r="D100" s="213">
        <f t="shared" si="32"/>
        <v>44130</v>
      </c>
      <c r="E100" s="54" t="s">
        <v>8</v>
      </c>
      <c r="F100" s="150">
        <v>9</v>
      </c>
      <c r="G100" s="192">
        <v>111</v>
      </c>
      <c r="H100" s="193">
        <f t="shared" si="25"/>
        <v>3.32</v>
      </c>
      <c r="I100" s="193">
        <f t="shared" si="20"/>
        <v>1.0507166145491278</v>
      </c>
      <c r="J100" s="194">
        <f t="shared" si="2"/>
        <v>116.62954421495319</v>
      </c>
      <c r="K100" s="201">
        <f t="shared" si="30"/>
        <v>368.52</v>
      </c>
      <c r="L100" s="200">
        <f t="shared" si="31"/>
        <v>-251.89045578504681</v>
      </c>
      <c r="M100" s="197">
        <f t="shared" si="26"/>
        <v>-8.4424718052585916</v>
      </c>
      <c r="N100" s="198">
        <f t="shared" si="27"/>
        <v>-260.33292759030542</v>
      </c>
      <c r="O100" s="197">
        <v>0</v>
      </c>
      <c r="P100" s="197">
        <v>0</v>
      </c>
      <c r="Q100" s="197">
        <v>0</v>
      </c>
      <c r="R100" s="198">
        <f t="shared" si="28"/>
        <v>-260.33292759030542</v>
      </c>
    </row>
    <row r="101" spans="1:18" x14ac:dyDescent="0.25">
      <c r="A101" s="113">
        <v>10</v>
      </c>
      <c r="B101" s="189">
        <f t="shared" si="4"/>
        <v>44105</v>
      </c>
      <c r="C101" s="213">
        <f t="shared" si="32"/>
        <v>44139</v>
      </c>
      <c r="D101" s="213">
        <f t="shared" si="32"/>
        <v>44159</v>
      </c>
      <c r="E101" s="54" t="s">
        <v>8</v>
      </c>
      <c r="F101" s="150">
        <v>9</v>
      </c>
      <c r="G101" s="192">
        <v>98</v>
      </c>
      <c r="H101" s="193">
        <f t="shared" si="25"/>
        <v>3.32</v>
      </c>
      <c r="I101" s="193">
        <f t="shared" si="20"/>
        <v>1.0507166145491278</v>
      </c>
      <c r="J101" s="194">
        <f t="shared" si="2"/>
        <v>102.97022822581452</v>
      </c>
      <c r="K101" s="201">
        <f t="shared" si="30"/>
        <v>325.35999999999996</v>
      </c>
      <c r="L101" s="200">
        <f t="shared" si="31"/>
        <v>-222.38977177418542</v>
      </c>
      <c r="M101" s="197">
        <f t="shared" si="26"/>
        <v>-7.4537138460841614</v>
      </c>
      <c r="N101" s="198">
        <f t="shared" si="27"/>
        <v>-229.84348562026958</v>
      </c>
      <c r="O101" s="197">
        <v>0</v>
      </c>
      <c r="P101" s="197">
        <v>0</v>
      </c>
      <c r="Q101" s="197">
        <v>0</v>
      </c>
      <c r="R101" s="198">
        <f t="shared" si="28"/>
        <v>-229.84348562026958</v>
      </c>
    </row>
    <row r="102" spans="1:18" x14ac:dyDescent="0.25">
      <c r="A102" s="150">
        <v>11</v>
      </c>
      <c r="B102" s="189">
        <f t="shared" si="4"/>
        <v>44136</v>
      </c>
      <c r="C102" s="213">
        <f t="shared" si="32"/>
        <v>44168</v>
      </c>
      <c r="D102" s="213">
        <f t="shared" si="32"/>
        <v>44189</v>
      </c>
      <c r="E102" s="54" t="s">
        <v>8</v>
      </c>
      <c r="F102" s="150">
        <v>9</v>
      </c>
      <c r="G102" s="192">
        <v>74</v>
      </c>
      <c r="H102" s="193">
        <f t="shared" si="25"/>
        <v>3.32</v>
      </c>
      <c r="I102" s="193">
        <f t="shared" si="20"/>
        <v>1.0507166145491278</v>
      </c>
      <c r="J102" s="194">
        <f t="shared" si="2"/>
        <v>77.753029476635461</v>
      </c>
      <c r="K102" s="201">
        <f t="shared" si="30"/>
        <v>245.67999999999998</v>
      </c>
      <c r="L102" s="200">
        <f t="shared" si="31"/>
        <v>-167.9269705233645</v>
      </c>
      <c r="M102" s="197">
        <f t="shared" si="26"/>
        <v>-5.6283145368390617</v>
      </c>
      <c r="N102" s="198">
        <f t="shared" si="27"/>
        <v>-173.55528506020357</v>
      </c>
      <c r="O102" s="197">
        <v>0</v>
      </c>
      <c r="P102" s="197">
        <v>0</v>
      </c>
      <c r="Q102" s="197">
        <v>0</v>
      </c>
      <c r="R102" s="198">
        <f t="shared" si="28"/>
        <v>-173.55528506020357</v>
      </c>
    </row>
    <row r="103" spans="1:18" s="217" customFormat="1" x14ac:dyDescent="0.25">
      <c r="A103" s="150">
        <v>12</v>
      </c>
      <c r="B103" s="215">
        <f t="shared" si="4"/>
        <v>44166</v>
      </c>
      <c r="C103" s="213">
        <f t="shared" si="32"/>
        <v>44202</v>
      </c>
      <c r="D103" s="213">
        <f t="shared" si="32"/>
        <v>44221</v>
      </c>
      <c r="E103" s="216" t="s">
        <v>8</v>
      </c>
      <c r="F103" s="161">
        <v>9</v>
      </c>
      <c r="G103" s="204">
        <v>78</v>
      </c>
      <c r="H103" s="205">
        <f t="shared" si="25"/>
        <v>3.32</v>
      </c>
      <c r="I103" s="205">
        <f t="shared" si="20"/>
        <v>1.0507166145491278</v>
      </c>
      <c r="J103" s="206">
        <f t="shared" si="2"/>
        <v>81.955895934831972</v>
      </c>
      <c r="K103" s="207">
        <f t="shared" si="30"/>
        <v>258.95999999999998</v>
      </c>
      <c r="L103" s="208">
        <f t="shared" si="31"/>
        <v>-177.00410406516801</v>
      </c>
      <c r="M103" s="197">
        <f t="shared" si="26"/>
        <v>-5.9325477550465777</v>
      </c>
      <c r="N103" s="198">
        <f t="shared" si="27"/>
        <v>-182.93665182021459</v>
      </c>
      <c r="O103" s="197">
        <v>0</v>
      </c>
      <c r="P103" s="197">
        <v>0</v>
      </c>
      <c r="Q103" s="197">
        <v>0</v>
      </c>
      <c r="R103" s="198">
        <f t="shared" si="28"/>
        <v>-182.93665182021459</v>
      </c>
    </row>
    <row r="104" spans="1:18" x14ac:dyDescent="0.25">
      <c r="A104" s="113">
        <v>1</v>
      </c>
      <c r="B104" s="189">
        <f t="shared" si="4"/>
        <v>43831</v>
      </c>
      <c r="C104" s="210">
        <f t="shared" si="32"/>
        <v>43866</v>
      </c>
      <c r="D104" s="210">
        <f t="shared" si="32"/>
        <v>43885</v>
      </c>
      <c r="E104" s="191" t="s">
        <v>19</v>
      </c>
      <c r="F104" s="113">
        <v>9</v>
      </c>
      <c r="G104" s="192">
        <v>39</v>
      </c>
      <c r="H104" s="193">
        <f t="shared" si="25"/>
        <v>3.32</v>
      </c>
      <c r="I104" s="193">
        <f t="shared" si="20"/>
        <v>1.0507166145491278</v>
      </c>
      <c r="J104" s="194">
        <f t="shared" si="2"/>
        <v>40.977947967415986</v>
      </c>
      <c r="K104" s="195">
        <f t="shared" si="30"/>
        <v>129.47999999999999</v>
      </c>
      <c r="L104" s="196">
        <f t="shared" si="31"/>
        <v>-88.502052032584004</v>
      </c>
      <c r="M104" s="197">
        <f t="shared" si="26"/>
        <v>-2.9662738775232889</v>
      </c>
      <c r="N104" s="198">
        <f t="shared" si="27"/>
        <v>-91.468325910107296</v>
      </c>
      <c r="O104" s="197">
        <v>0</v>
      </c>
      <c r="P104" s="197">
        <v>0</v>
      </c>
      <c r="Q104" s="197">
        <v>0</v>
      </c>
      <c r="R104" s="198">
        <f t="shared" si="28"/>
        <v>-91.468325910107296</v>
      </c>
    </row>
    <row r="105" spans="1:18" x14ac:dyDescent="0.25">
      <c r="A105" s="150">
        <v>2</v>
      </c>
      <c r="B105" s="189">
        <f t="shared" si="4"/>
        <v>43862</v>
      </c>
      <c r="C105" s="213">
        <f t="shared" si="32"/>
        <v>43894</v>
      </c>
      <c r="D105" s="213">
        <f t="shared" si="32"/>
        <v>43914</v>
      </c>
      <c r="E105" s="199" t="s">
        <v>19</v>
      </c>
      <c r="F105" s="150">
        <v>9</v>
      </c>
      <c r="G105" s="192">
        <v>41</v>
      </c>
      <c r="H105" s="193">
        <f t="shared" si="25"/>
        <v>3.32</v>
      </c>
      <c r="I105" s="193">
        <f t="shared" si="20"/>
        <v>1.0507166145491278</v>
      </c>
      <c r="J105" s="194">
        <f t="shared" si="2"/>
        <v>43.079381196514241</v>
      </c>
      <c r="K105" s="195">
        <f t="shared" si="30"/>
        <v>136.12</v>
      </c>
      <c r="L105" s="196">
        <f t="shared" si="31"/>
        <v>-93.040618803485756</v>
      </c>
      <c r="M105" s="197">
        <f t="shared" si="26"/>
        <v>-3.1183904866270478</v>
      </c>
      <c r="N105" s="198">
        <f t="shared" si="27"/>
        <v>-96.159009290112806</v>
      </c>
      <c r="O105" s="197">
        <v>0</v>
      </c>
      <c r="P105" s="197">
        <v>0</v>
      </c>
      <c r="Q105" s="197">
        <v>0</v>
      </c>
      <c r="R105" s="198">
        <f t="shared" si="28"/>
        <v>-96.159009290112806</v>
      </c>
    </row>
    <row r="106" spans="1:18" x14ac:dyDescent="0.25">
      <c r="A106" s="150">
        <v>3</v>
      </c>
      <c r="B106" s="189">
        <f t="shared" si="4"/>
        <v>43891</v>
      </c>
      <c r="C106" s="213">
        <f t="shared" si="32"/>
        <v>43924</v>
      </c>
      <c r="D106" s="213">
        <f t="shared" si="32"/>
        <v>43945</v>
      </c>
      <c r="E106" s="199" t="s">
        <v>19</v>
      </c>
      <c r="F106" s="150">
        <v>9</v>
      </c>
      <c r="G106" s="192">
        <v>36</v>
      </c>
      <c r="H106" s="193">
        <f t="shared" si="25"/>
        <v>3.32</v>
      </c>
      <c r="I106" s="193">
        <f t="shared" si="20"/>
        <v>1.0507166145491278</v>
      </c>
      <c r="J106" s="194">
        <f t="shared" si="2"/>
        <v>37.8257981237686</v>
      </c>
      <c r="K106" s="195">
        <f t="shared" si="30"/>
        <v>119.52</v>
      </c>
      <c r="L106" s="196">
        <f>+J106-K106</f>
        <v>-81.694201876231404</v>
      </c>
      <c r="M106" s="197">
        <f t="shared" si="26"/>
        <v>-2.7380989638676514</v>
      </c>
      <c r="N106" s="198">
        <f t="shared" si="27"/>
        <v>-84.43230084009906</v>
      </c>
      <c r="O106" s="197">
        <v>0</v>
      </c>
      <c r="P106" s="197">
        <v>0</v>
      </c>
      <c r="Q106" s="197">
        <v>0</v>
      </c>
      <c r="R106" s="198">
        <f t="shared" si="28"/>
        <v>-84.43230084009906</v>
      </c>
    </row>
    <row r="107" spans="1:18" x14ac:dyDescent="0.25">
      <c r="A107" s="113">
        <v>4</v>
      </c>
      <c r="B107" s="189">
        <f t="shared" si="4"/>
        <v>43922</v>
      </c>
      <c r="C107" s="213">
        <f t="shared" si="32"/>
        <v>43956</v>
      </c>
      <c r="D107" s="213">
        <f t="shared" si="32"/>
        <v>43976</v>
      </c>
      <c r="E107" s="54" t="s">
        <v>19</v>
      </c>
      <c r="F107" s="150">
        <v>9</v>
      </c>
      <c r="G107" s="192">
        <v>31</v>
      </c>
      <c r="H107" s="193">
        <f t="shared" si="25"/>
        <v>3.32</v>
      </c>
      <c r="I107" s="193">
        <f t="shared" si="20"/>
        <v>1.0507166145491278</v>
      </c>
      <c r="J107" s="194">
        <f t="shared" si="2"/>
        <v>32.572215051022958</v>
      </c>
      <c r="K107" s="195">
        <f t="shared" si="30"/>
        <v>102.92</v>
      </c>
      <c r="L107" s="196">
        <f t="shared" ref="L107:L115" si="33">+J107-K107</f>
        <v>-70.347784948977051</v>
      </c>
      <c r="M107" s="197">
        <f t="shared" si="26"/>
        <v>-2.357807441108255</v>
      </c>
      <c r="N107" s="198">
        <f t="shared" si="27"/>
        <v>-72.7055923900853</v>
      </c>
      <c r="O107" s="197">
        <v>0</v>
      </c>
      <c r="P107" s="197">
        <v>0</v>
      </c>
      <c r="Q107" s="197">
        <v>0</v>
      </c>
      <c r="R107" s="198">
        <f t="shared" si="28"/>
        <v>-72.7055923900853</v>
      </c>
    </row>
    <row r="108" spans="1:18" x14ac:dyDescent="0.25">
      <c r="A108" s="150">
        <v>5</v>
      </c>
      <c r="B108" s="189">
        <f t="shared" si="4"/>
        <v>43952</v>
      </c>
      <c r="C108" s="213">
        <f t="shared" si="32"/>
        <v>43985</v>
      </c>
      <c r="D108" s="213">
        <f t="shared" si="32"/>
        <v>44006</v>
      </c>
      <c r="E108" s="54" t="s">
        <v>19</v>
      </c>
      <c r="F108" s="150">
        <v>9</v>
      </c>
      <c r="G108" s="192">
        <v>32</v>
      </c>
      <c r="H108" s="193">
        <f t="shared" si="25"/>
        <v>3.32</v>
      </c>
      <c r="I108" s="193">
        <f t="shared" ref="I108:I127" si="34">$J$3</f>
        <v>1.0507166145491278</v>
      </c>
      <c r="J108" s="194">
        <f t="shared" si="2"/>
        <v>33.622931665572089</v>
      </c>
      <c r="K108" s="195">
        <f t="shared" si="30"/>
        <v>106.24</v>
      </c>
      <c r="L108" s="196">
        <f t="shared" si="33"/>
        <v>-72.617068334427898</v>
      </c>
      <c r="M108" s="197">
        <f t="shared" si="26"/>
        <v>-2.4338657456601345</v>
      </c>
      <c r="N108" s="198">
        <f t="shared" si="27"/>
        <v>-75.050934080088027</v>
      </c>
      <c r="O108" s="197">
        <v>0</v>
      </c>
      <c r="P108" s="197">
        <v>0</v>
      </c>
      <c r="Q108" s="197">
        <v>0</v>
      </c>
      <c r="R108" s="198">
        <f t="shared" si="28"/>
        <v>-75.050934080088027</v>
      </c>
    </row>
    <row r="109" spans="1:18" x14ac:dyDescent="0.25">
      <c r="A109" s="150">
        <v>6</v>
      </c>
      <c r="B109" s="189">
        <f t="shared" ref="B109:B148" si="35">DATE($R$1,A109,1)</f>
        <v>43983</v>
      </c>
      <c r="C109" s="213">
        <f t="shared" si="32"/>
        <v>44015</v>
      </c>
      <c r="D109" s="213">
        <f t="shared" si="32"/>
        <v>44036</v>
      </c>
      <c r="E109" s="54" t="s">
        <v>19</v>
      </c>
      <c r="F109" s="150">
        <v>9</v>
      </c>
      <c r="G109" s="192">
        <v>39</v>
      </c>
      <c r="H109" s="193">
        <f t="shared" si="25"/>
        <v>3.32</v>
      </c>
      <c r="I109" s="193">
        <f t="shared" si="34"/>
        <v>1.0507166145491278</v>
      </c>
      <c r="J109" s="194">
        <f t="shared" ref="J109:J148" si="36">+$G109*I109</f>
        <v>40.977947967415986</v>
      </c>
      <c r="K109" s="195">
        <f t="shared" si="30"/>
        <v>129.47999999999999</v>
      </c>
      <c r="L109" s="200">
        <f t="shared" si="33"/>
        <v>-88.502052032584004</v>
      </c>
      <c r="M109" s="197">
        <f t="shared" si="26"/>
        <v>-2.9662738775232889</v>
      </c>
      <c r="N109" s="198">
        <f t="shared" si="27"/>
        <v>-91.468325910107296</v>
      </c>
      <c r="O109" s="197">
        <v>0</v>
      </c>
      <c r="P109" s="197">
        <v>0</v>
      </c>
      <c r="Q109" s="197">
        <v>0</v>
      </c>
      <c r="R109" s="198">
        <f t="shared" si="28"/>
        <v>-91.468325910107296</v>
      </c>
    </row>
    <row r="110" spans="1:18" x14ac:dyDescent="0.25">
      <c r="A110" s="113">
        <v>7</v>
      </c>
      <c r="B110" s="189">
        <f t="shared" si="35"/>
        <v>44013</v>
      </c>
      <c r="C110" s="213">
        <f t="shared" si="32"/>
        <v>44048</v>
      </c>
      <c r="D110" s="213">
        <f t="shared" si="32"/>
        <v>44067</v>
      </c>
      <c r="E110" s="54" t="s">
        <v>19</v>
      </c>
      <c r="F110" s="150">
        <v>9</v>
      </c>
      <c r="G110" s="192">
        <v>44</v>
      </c>
      <c r="H110" s="193">
        <f t="shared" si="25"/>
        <v>3.32</v>
      </c>
      <c r="I110" s="193">
        <f t="shared" si="34"/>
        <v>1.0507166145491278</v>
      </c>
      <c r="J110" s="194">
        <f t="shared" si="36"/>
        <v>46.23153104016162</v>
      </c>
      <c r="K110" s="201">
        <f t="shared" si="30"/>
        <v>146.07999999999998</v>
      </c>
      <c r="L110" s="200">
        <f t="shared" si="33"/>
        <v>-99.848468959838357</v>
      </c>
      <c r="M110" s="197">
        <f t="shared" si="26"/>
        <v>-3.3465654002826852</v>
      </c>
      <c r="N110" s="198">
        <f t="shared" si="27"/>
        <v>-103.19503436012104</v>
      </c>
      <c r="O110" s="197">
        <v>0</v>
      </c>
      <c r="P110" s="197">
        <v>0</v>
      </c>
      <c r="Q110" s="197">
        <v>0</v>
      </c>
      <c r="R110" s="198">
        <f t="shared" si="28"/>
        <v>-103.19503436012104</v>
      </c>
    </row>
    <row r="111" spans="1:18" x14ac:dyDescent="0.25">
      <c r="A111" s="150">
        <v>8</v>
      </c>
      <c r="B111" s="189">
        <f t="shared" si="35"/>
        <v>44044</v>
      </c>
      <c r="C111" s="213">
        <f t="shared" si="32"/>
        <v>44077</v>
      </c>
      <c r="D111" s="213">
        <f t="shared" si="32"/>
        <v>44098</v>
      </c>
      <c r="E111" s="54" t="s">
        <v>19</v>
      </c>
      <c r="F111" s="150">
        <v>9</v>
      </c>
      <c r="G111" s="192">
        <v>38</v>
      </c>
      <c r="H111" s="193">
        <f t="shared" si="25"/>
        <v>3.32</v>
      </c>
      <c r="I111" s="193">
        <f t="shared" si="34"/>
        <v>1.0507166145491278</v>
      </c>
      <c r="J111" s="194">
        <f t="shared" si="36"/>
        <v>39.927231352866855</v>
      </c>
      <c r="K111" s="201">
        <f t="shared" si="30"/>
        <v>126.16</v>
      </c>
      <c r="L111" s="200">
        <f t="shared" si="33"/>
        <v>-86.232768647133142</v>
      </c>
      <c r="M111" s="197">
        <f t="shared" si="26"/>
        <v>-2.8902155729714099</v>
      </c>
      <c r="N111" s="198">
        <f t="shared" si="27"/>
        <v>-89.122984220104556</v>
      </c>
      <c r="O111" s="197">
        <v>0</v>
      </c>
      <c r="P111" s="197">
        <v>0</v>
      </c>
      <c r="Q111" s="197">
        <v>0</v>
      </c>
      <c r="R111" s="198">
        <f t="shared" si="28"/>
        <v>-89.122984220104556</v>
      </c>
    </row>
    <row r="112" spans="1:18" x14ac:dyDescent="0.25">
      <c r="A112" s="150">
        <v>9</v>
      </c>
      <c r="B112" s="189">
        <f t="shared" si="35"/>
        <v>44075</v>
      </c>
      <c r="C112" s="213">
        <f t="shared" si="32"/>
        <v>44109</v>
      </c>
      <c r="D112" s="213">
        <f t="shared" si="32"/>
        <v>44130</v>
      </c>
      <c r="E112" s="54" t="s">
        <v>19</v>
      </c>
      <c r="F112" s="150">
        <v>9</v>
      </c>
      <c r="G112" s="192">
        <v>41</v>
      </c>
      <c r="H112" s="193">
        <f t="shared" si="25"/>
        <v>3.32</v>
      </c>
      <c r="I112" s="193">
        <f t="shared" si="34"/>
        <v>1.0507166145491278</v>
      </c>
      <c r="J112" s="194">
        <f t="shared" si="36"/>
        <v>43.079381196514241</v>
      </c>
      <c r="K112" s="201">
        <f t="shared" si="30"/>
        <v>136.12</v>
      </c>
      <c r="L112" s="200">
        <f t="shared" si="33"/>
        <v>-93.040618803485756</v>
      </c>
      <c r="M112" s="197">
        <f t="shared" si="26"/>
        <v>-3.1183904866270478</v>
      </c>
      <c r="N112" s="198">
        <f t="shared" si="27"/>
        <v>-96.159009290112806</v>
      </c>
      <c r="O112" s="197">
        <v>0</v>
      </c>
      <c r="P112" s="197">
        <v>0</v>
      </c>
      <c r="Q112" s="197">
        <v>0</v>
      </c>
      <c r="R112" s="198">
        <f t="shared" si="28"/>
        <v>-96.159009290112806</v>
      </c>
    </row>
    <row r="113" spans="1:18" x14ac:dyDescent="0.25">
      <c r="A113" s="113">
        <v>10</v>
      </c>
      <c r="B113" s="189">
        <f t="shared" si="35"/>
        <v>44105</v>
      </c>
      <c r="C113" s="213">
        <f t="shared" si="32"/>
        <v>44139</v>
      </c>
      <c r="D113" s="213">
        <f t="shared" si="32"/>
        <v>44159</v>
      </c>
      <c r="E113" s="54" t="s">
        <v>19</v>
      </c>
      <c r="F113" s="150">
        <v>9</v>
      </c>
      <c r="G113" s="192">
        <v>42</v>
      </c>
      <c r="H113" s="193">
        <f t="shared" si="25"/>
        <v>3.32</v>
      </c>
      <c r="I113" s="193">
        <f t="shared" si="34"/>
        <v>1.0507166145491278</v>
      </c>
      <c r="J113" s="194">
        <f t="shared" si="36"/>
        <v>44.130097811063365</v>
      </c>
      <c r="K113" s="201">
        <f t="shared" si="30"/>
        <v>139.44</v>
      </c>
      <c r="L113" s="200">
        <f t="shared" si="33"/>
        <v>-95.309902188936633</v>
      </c>
      <c r="M113" s="197">
        <f t="shared" si="26"/>
        <v>-3.1944487911789263</v>
      </c>
      <c r="N113" s="198">
        <f t="shared" si="27"/>
        <v>-98.504350980115561</v>
      </c>
      <c r="O113" s="197">
        <v>0</v>
      </c>
      <c r="P113" s="197">
        <v>0</v>
      </c>
      <c r="Q113" s="197">
        <v>0</v>
      </c>
      <c r="R113" s="198">
        <f t="shared" si="28"/>
        <v>-98.504350980115561</v>
      </c>
    </row>
    <row r="114" spans="1:18" x14ac:dyDescent="0.25">
      <c r="A114" s="150">
        <v>11</v>
      </c>
      <c r="B114" s="189">
        <f t="shared" si="35"/>
        <v>44136</v>
      </c>
      <c r="C114" s="213">
        <f t="shared" si="32"/>
        <v>44168</v>
      </c>
      <c r="D114" s="213">
        <f t="shared" si="32"/>
        <v>44189</v>
      </c>
      <c r="E114" s="54" t="s">
        <v>19</v>
      </c>
      <c r="F114" s="150">
        <v>9</v>
      </c>
      <c r="G114" s="192">
        <v>45</v>
      </c>
      <c r="H114" s="193">
        <f t="shared" si="25"/>
        <v>3.32</v>
      </c>
      <c r="I114" s="193">
        <f t="shared" si="34"/>
        <v>1.0507166145491278</v>
      </c>
      <c r="J114" s="194">
        <f t="shared" si="36"/>
        <v>47.282247654710751</v>
      </c>
      <c r="K114" s="201">
        <f t="shared" si="30"/>
        <v>149.4</v>
      </c>
      <c r="L114" s="200">
        <f t="shared" si="33"/>
        <v>-102.11775234528926</v>
      </c>
      <c r="M114" s="197">
        <f t="shared" si="26"/>
        <v>-3.4226237048345642</v>
      </c>
      <c r="N114" s="198">
        <f t="shared" si="27"/>
        <v>-105.54037605012383</v>
      </c>
      <c r="O114" s="197">
        <v>0</v>
      </c>
      <c r="P114" s="197">
        <v>0</v>
      </c>
      <c r="Q114" s="197">
        <v>0</v>
      </c>
      <c r="R114" s="198">
        <f t="shared" si="28"/>
        <v>-105.54037605012383</v>
      </c>
    </row>
    <row r="115" spans="1:18" s="217" customFormat="1" x14ac:dyDescent="0.25">
      <c r="A115" s="150">
        <v>12</v>
      </c>
      <c r="B115" s="215">
        <f t="shared" si="35"/>
        <v>44166</v>
      </c>
      <c r="C115" s="218">
        <f t="shared" si="32"/>
        <v>44202</v>
      </c>
      <c r="D115" s="218">
        <f t="shared" si="32"/>
        <v>44221</v>
      </c>
      <c r="E115" s="216" t="s">
        <v>19</v>
      </c>
      <c r="F115" s="161">
        <v>9</v>
      </c>
      <c r="G115" s="204">
        <v>43</v>
      </c>
      <c r="H115" s="205">
        <f t="shared" si="25"/>
        <v>3.32</v>
      </c>
      <c r="I115" s="205">
        <f t="shared" si="34"/>
        <v>1.0507166145491278</v>
      </c>
      <c r="J115" s="206">
        <f t="shared" si="36"/>
        <v>45.180814425612496</v>
      </c>
      <c r="K115" s="207">
        <f t="shared" si="30"/>
        <v>142.76</v>
      </c>
      <c r="L115" s="208">
        <f t="shared" si="33"/>
        <v>-97.579185574387495</v>
      </c>
      <c r="M115" s="197">
        <f t="shared" si="26"/>
        <v>-3.2705070957308058</v>
      </c>
      <c r="N115" s="198">
        <f t="shared" si="27"/>
        <v>-100.8496926701183</v>
      </c>
      <c r="O115" s="197">
        <v>0</v>
      </c>
      <c r="P115" s="197">
        <v>0</v>
      </c>
      <c r="Q115" s="197">
        <v>0</v>
      </c>
      <c r="R115" s="198">
        <f t="shared" si="28"/>
        <v>-100.8496926701183</v>
      </c>
    </row>
    <row r="116" spans="1:18" x14ac:dyDescent="0.25">
      <c r="A116" s="113">
        <v>1</v>
      </c>
      <c r="B116" s="189">
        <f t="shared" si="35"/>
        <v>43831</v>
      </c>
      <c r="C116" s="213">
        <f t="shared" si="32"/>
        <v>43866</v>
      </c>
      <c r="D116" s="213">
        <f t="shared" si="32"/>
        <v>43885</v>
      </c>
      <c r="E116" s="191" t="s">
        <v>13</v>
      </c>
      <c r="F116" s="113">
        <v>9</v>
      </c>
      <c r="G116" s="192">
        <v>973</v>
      </c>
      <c r="H116" s="193">
        <f t="shared" si="25"/>
        <v>3.32</v>
      </c>
      <c r="I116" s="193">
        <f t="shared" si="34"/>
        <v>1.0507166145491278</v>
      </c>
      <c r="J116" s="194">
        <f t="shared" si="36"/>
        <v>1022.3472659563014</v>
      </c>
      <c r="K116" s="195">
        <f t="shared" si="30"/>
        <v>3230.3599999999997</v>
      </c>
      <c r="L116" s="196">
        <f>+J116-K116</f>
        <v>-2208.0127340436984</v>
      </c>
      <c r="M116" s="197">
        <f t="shared" si="26"/>
        <v>-74.004730328978468</v>
      </c>
      <c r="N116" s="198">
        <f t="shared" si="27"/>
        <v>-2282.0174643726768</v>
      </c>
      <c r="O116" s="197">
        <v>0</v>
      </c>
      <c r="P116" s="197">
        <v>0</v>
      </c>
      <c r="Q116" s="197">
        <v>0</v>
      </c>
      <c r="R116" s="198">
        <f t="shared" si="28"/>
        <v>-2282.0174643726768</v>
      </c>
    </row>
    <row r="117" spans="1:18" x14ac:dyDescent="0.25">
      <c r="A117" s="150">
        <v>2</v>
      </c>
      <c r="B117" s="189">
        <f t="shared" si="35"/>
        <v>43862</v>
      </c>
      <c r="C117" s="213">
        <f t="shared" ref="C117:D139" si="37">+C105</f>
        <v>43894</v>
      </c>
      <c r="D117" s="213">
        <f t="shared" si="37"/>
        <v>43914</v>
      </c>
      <c r="E117" s="199" t="s">
        <v>13</v>
      </c>
      <c r="F117" s="150">
        <v>9</v>
      </c>
      <c r="G117" s="192">
        <v>991</v>
      </c>
      <c r="H117" s="193">
        <f t="shared" si="25"/>
        <v>3.32</v>
      </c>
      <c r="I117" s="193">
        <f t="shared" si="34"/>
        <v>1.0507166145491278</v>
      </c>
      <c r="J117" s="194">
        <f t="shared" si="36"/>
        <v>1041.2601650181857</v>
      </c>
      <c r="K117" s="195">
        <f t="shared" si="30"/>
        <v>3290.12</v>
      </c>
      <c r="L117" s="196">
        <f>+J117-K117</f>
        <v>-2248.8598349818139</v>
      </c>
      <c r="M117" s="197">
        <f t="shared" si="26"/>
        <v>-75.373779810912296</v>
      </c>
      <c r="N117" s="198">
        <f t="shared" si="27"/>
        <v>-2324.2336147927263</v>
      </c>
      <c r="O117" s="197">
        <v>0</v>
      </c>
      <c r="P117" s="197">
        <v>0</v>
      </c>
      <c r="Q117" s="197">
        <v>0</v>
      </c>
      <c r="R117" s="198">
        <f t="shared" si="28"/>
        <v>-2324.2336147927263</v>
      </c>
    </row>
    <row r="118" spans="1:18" x14ac:dyDescent="0.25">
      <c r="A118" s="150">
        <v>3</v>
      </c>
      <c r="B118" s="189">
        <f t="shared" si="35"/>
        <v>43891</v>
      </c>
      <c r="C118" s="213">
        <f t="shared" si="37"/>
        <v>43924</v>
      </c>
      <c r="D118" s="213">
        <f t="shared" si="37"/>
        <v>43945</v>
      </c>
      <c r="E118" s="199" t="s">
        <v>13</v>
      </c>
      <c r="F118" s="150">
        <v>9</v>
      </c>
      <c r="G118" s="192">
        <v>585</v>
      </c>
      <c r="H118" s="193">
        <f t="shared" si="25"/>
        <v>3.32</v>
      </c>
      <c r="I118" s="193">
        <f t="shared" si="34"/>
        <v>1.0507166145491278</v>
      </c>
      <c r="J118" s="194">
        <f t="shared" si="36"/>
        <v>614.6692195112397</v>
      </c>
      <c r="K118" s="195">
        <f t="shared" si="30"/>
        <v>1942.1999999999998</v>
      </c>
      <c r="L118" s="196">
        <f>+J118-K118</f>
        <v>-1327.5307804887602</v>
      </c>
      <c r="M118" s="197">
        <f t="shared" si="26"/>
        <v>-44.494108162849336</v>
      </c>
      <c r="N118" s="198">
        <f t="shared" si="27"/>
        <v>-1372.0248886516097</v>
      </c>
      <c r="O118" s="197">
        <v>0</v>
      </c>
      <c r="P118" s="197">
        <v>0</v>
      </c>
      <c r="Q118" s="197">
        <v>0</v>
      </c>
      <c r="R118" s="198">
        <f t="shared" si="28"/>
        <v>-1372.0248886516097</v>
      </c>
    </row>
    <row r="119" spans="1:18" x14ac:dyDescent="0.25">
      <c r="A119" s="113">
        <v>4</v>
      </c>
      <c r="B119" s="189">
        <f t="shared" si="35"/>
        <v>43922</v>
      </c>
      <c r="C119" s="213">
        <f t="shared" si="37"/>
        <v>43956</v>
      </c>
      <c r="D119" s="213">
        <f t="shared" si="37"/>
        <v>43976</v>
      </c>
      <c r="E119" s="54" t="s">
        <v>13</v>
      </c>
      <c r="F119" s="150">
        <v>9</v>
      </c>
      <c r="G119" s="192">
        <v>650</v>
      </c>
      <c r="H119" s="193">
        <f t="shared" si="25"/>
        <v>3.32</v>
      </c>
      <c r="I119" s="193">
        <f t="shared" si="34"/>
        <v>1.0507166145491278</v>
      </c>
      <c r="J119" s="194">
        <f t="shared" si="36"/>
        <v>682.96579945693304</v>
      </c>
      <c r="K119" s="195">
        <f t="shared" si="30"/>
        <v>2158</v>
      </c>
      <c r="L119" s="196">
        <f t="shared" ref="L119:L127" si="38">+J119-K119</f>
        <v>-1475.0342005430671</v>
      </c>
      <c r="M119" s="197">
        <f t="shared" si="26"/>
        <v>-49.437897958721486</v>
      </c>
      <c r="N119" s="198">
        <f t="shared" si="27"/>
        <v>-1524.4720985017887</v>
      </c>
      <c r="O119" s="197">
        <v>0</v>
      </c>
      <c r="P119" s="197">
        <v>0</v>
      </c>
      <c r="Q119" s="197">
        <v>0</v>
      </c>
      <c r="R119" s="198">
        <f t="shared" si="28"/>
        <v>-1524.4720985017887</v>
      </c>
    </row>
    <row r="120" spans="1:18" x14ac:dyDescent="0.25">
      <c r="A120" s="150">
        <v>5</v>
      </c>
      <c r="B120" s="189">
        <f t="shared" si="35"/>
        <v>43952</v>
      </c>
      <c r="C120" s="213">
        <f t="shared" si="37"/>
        <v>43985</v>
      </c>
      <c r="D120" s="213">
        <f t="shared" si="37"/>
        <v>44006</v>
      </c>
      <c r="E120" s="54" t="s">
        <v>13</v>
      </c>
      <c r="F120" s="150">
        <v>9</v>
      </c>
      <c r="G120" s="192">
        <v>688</v>
      </c>
      <c r="H120" s="193">
        <f t="shared" si="25"/>
        <v>3.32</v>
      </c>
      <c r="I120" s="193">
        <f t="shared" si="34"/>
        <v>1.0507166145491278</v>
      </c>
      <c r="J120" s="194">
        <f t="shared" si="36"/>
        <v>722.89303080979994</v>
      </c>
      <c r="K120" s="195">
        <f t="shared" si="30"/>
        <v>2284.16</v>
      </c>
      <c r="L120" s="196">
        <f t="shared" si="38"/>
        <v>-1561.2669691901999</v>
      </c>
      <c r="M120" s="197">
        <f t="shared" si="26"/>
        <v>-52.328113531692892</v>
      </c>
      <c r="N120" s="198">
        <f t="shared" si="27"/>
        <v>-1613.5950827218928</v>
      </c>
      <c r="O120" s="197">
        <v>0</v>
      </c>
      <c r="P120" s="197">
        <v>0</v>
      </c>
      <c r="Q120" s="197">
        <v>0</v>
      </c>
      <c r="R120" s="198">
        <f t="shared" si="28"/>
        <v>-1613.5950827218928</v>
      </c>
    </row>
    <row r="121" spans="1:18" x14ac:dyDescent="0.25">
      <c r="A121" s="150">
        <v>6</v>
      </c>
      <c r="B121" s="189">
        <f t="shared" si="35"/>
        <v>43983</v>
      </c>
      <c r="C121" s="213">
        <f t="shared" si="37"/>
        <v>44015</v>
      </c>
      <c r="D121" s="213">
        <f t="shared" si="37"/>
        <v>44036</v>
      </c>
      <c r="E121" s="54" t="s">
        <v>13</v>
      </c>
      <c r="F121" s="150">
        <v>9</v>
      </c>
      <c r="G121" s="192">
        <v>835</v>
      </c>
      <c r="H121" s="193">
        <f t="shared" si="25"/>
        <v>3.32</v>
      </c>
      <c r="I121" s="193">
        <f t="shared" si="34"/>
        <v>1.0507166145491278</v>
      </c>
      <c r="J121" s="194">
        <f t="shared" si="36"/>
        <v>877.34837314852166</v>
      </c>
      <c r="K121" s="195">
        <f t="shared" si="30"/>
        <v>2772.2</v>
      </c>
      <c r="L121" s="200">
        <f t="shared" si="38"/>
        <v>-1894.8516268514782</v>
      </c>
      <c r="M121" s="197">
        <f t="shared" si="26"/>
        <v>-63.508684300819134</v>
      </c>
      <c r="N121" s="198">
        <f t="shared" si="27"/>
        <v>-1958.3603111522973</v>
      </c>
      <c r="O121" s="197">
        <v>0</v>
      </c>
      <c r="P121" s="197">
        <v>0</v>
      </c>
      <c r="Q121" s="197">
        <v>0</v>
      </c>
      <c r="R121" s="198">
        <f t="shared" si="28"/>
        <v>-1958.3603111522973</v>
      </c>
    </row>
    <row r="122" spans="1:18" x14ac:dyDescent="0.25">
      <c r="A122" s="113">
        <v>7</v>
      </c>
      <c r="B122" s="189">
        <f t="shared" si="35"/>
        <v>44013</v>
      </c>
      <c r="C122" s="213">
        <f t="shared" si="37"/>
        <v>44048</v>
      </c>
      <c r="D122" s="213">
        <f t="shared" si="37"/>
        <v>44067</v>
      </c>
      <c r="E122" s="54" t="s">
        <v>13</v>
      </c>
      <c r="F122" s="150">
        <v>9</v>
      </c>
      <c r="G122" s="192">
        <v>908</v>
      </c>
      <c r="H122" s="193">
        <f t="shared" si="25"/>
        <v>3.32</v>
      </c>
      <c r="I122" s="193">
        <f t="shared" si="34"/>
        <v>1.0507166145491278</v>
      </c>
      <c r="J122" s="194">
        <f t="shared" si="36"/>
        <v>954.05068601060805</v>
      </c>
      <c r="K122" s="201">
        <f t="shared" si="30"/>
        <v>3014.56</v>
      </c>
      <c r="L122" s="200">
        <f t="shared" si="38"/>
        <v>-2060.509313989392</v>
      </c>
      <c r="M122" s="197">
        <f t="shared" si="26"/>
        <v>-69.060940533106319</v>
      </c>
      <c r="N122" s="198">
        <f t="shared" si="27"/>
        <v>-2129.5702545224985</v>
      </c>
      <c r="O122" s="197">
        <v>0</v>
      </c>
      <c r="P122" s="197">
        <v>0</v>
      </c>
      <c r="Q122" s="197">
        <v>0</v>
      </c>
      <c r="R122" s="198">
        <f t="shared" si="28"/>
        <v>-2129.5702545224985</v>
      </c>
    </row>
    <row r="123" spans="1:18" x14ac:dyDescent="0.25">
      <c r="A123" s="150">
        <v>8</v>
      </c>
      <c r="B123" s="189">
        <f t="shared" si="35"/>
        <v>44044</v>
      </c>
      <c r="C123" s="213">
        <f t="shared" si="37"/>
        <v>44077</v>
      </c>
      <c r="D123" s="213">
        <f t="shared" si="37"/>
        <v>44098</v>
      </c>
      <c r="E123" s="54" t="s">
        <v>13</v>
      </c>
      <c r="F123" s="150">
        <v>9</v>
      </c>
      <c r="G123" s="192">
        <v>905</v>
      </c>
      <c r="H123" s="193">
        <f t="shared" si="25"/>
        <v>3.32</v>
      </c>
      <c r="I123" s="193">
        <f t="shared" si="34"/>
        <v>1.0507166145491278</v>
      </c>
      <c r="J123" s="194">
        <f t="shared" si="36"/>
        <v>950.89853616696064</v>
      </c>
      <c r="K123" s="201">
        <f t="shared" si="30"/>
        <v>3004.6</v>
      </c>
      <c r="L123" s="200">
        <f t="shared" si="38"/>
        <v>-2053.7014638330393</v>
      </c>
      <c r="M123" s="197">
        <f t="shared" si="26"/>
        <v>-68.832765619450683</v>
      </c>
      <c r="N123" s="198">
        <f t="shared" si="27"/>
        <v>-2122.5342294524899</v>
      </c>
      <c r="O123" s="197">
        <v>0</v>
      </c>
      <c r="P123" s="197">
        <v>0</v>
      </c>
      <c r="Q123" s="197">
        <v>0</v>
      </c>
      <c r="R123" s="198">
        <f t="shared" si="28"/>
        <v>-2122.5342294524899</v>
      </c>
    </row>
    <row r="124" spans="1:18" x14ac:dyDescent="0.25">
      <c r="A124" s="150">
        <v>9</v>
      </c>
      <c r="B124" s="189">
        <f t="shared" si="35"/>
        <v>44075</v>
      </c>
      <c r="C124" s="213">
        <f t="shared" si="37"/>
        <v>44109</v>
      </c>
      <c r="D124" s="213">
        <f t="shared" si="37"/>
        <v>44130</v>
      </c>
      <c r="E124" s="54" t="s">
        <v>13</v>
      </c>
      <c r="F124" s="150">
        <v>9</v>
      </c>
      <c r="G124" s="192">
        <v>758</v>
      </c>
      <c r="H124" s="193">
        <f t="shared" si="25"/>
        <v>3.32</v>
      </c>
      <c r="I124" s="193">
        <f t="shared" si="34"/>
        <v>1.0507166145491278</v>
      </c>
      <c r="J124" s="194">
        <f t="shared" si="36"/>
        <v>796.44319382823892</v>
      </c>
      <c r="K124" s="201">
        <f t="shared" si="30"/>
        <v>2516.56</v>
      </c>
      <c r="L124" s="200">
        <f t="shared" si="38"/>
        <v>-1720.116806171761</v>
      </c>
      <c r="M124" s="197">
        <f t="shared" si="26"/>
        <v>-57.652194850324435</v>
      </c>
      <c r="N124" s="198">
        <f t="shared" si="27"/>
        <v>-1777.7690010220854</v>
      </c>
      <c r="O124" s="197">
        <v>0</v>
      </c>
      <c r="P124" s="197">
        <v>0</v>
      </c>
      <c r="Q124" s="197">
        <v>0</v>
      </c>
      <c r="R124" s="198">
        <f t="shared" si="28"/>
        <v>-1777.7690010220854</v>
      </c>
    </row>
    <row r="125" spans="1:18" x14ac:dyDescent="0.25">
      <c r="A125" s="113">
        <v>10</v>
      </c>
      <c r="B125" s="189">
        <f t="shared" si="35"/>
        <v>44105</v>
      </c>
      <c r="C125" s="213">
        <f t="shared" si="37"/>
        <v>44139</v>
      </c>
      <c r="D125" s="213">
        <f t="shared" si="37"/>
        <v>44159</v>
      </c>
      <c r="E125" s="54" t="s">
        <v>13</v>
      </c>
      <c r="F125" s="150">
        <v>9</v>
      </c>
      <c r="G125" s="192">
        <v>713</v>
      </c>
      <c r="H125" s="193">
        <f t="shared" si="25"/>
        <v>3.32</v>
      </c>
      <c r="I125" s="193">
        <f t="shared" si="34"/>
        <v>1.0507166145491278</v>
      </c>
      <c r="J125" s="194">
        <f t="shared" si="36"/>
        <v>749.16094617352815</v>
      </c>
      <c r="K125" s="201">
        <f t="shared" si="30"/>
        <v>2367.16</v>
      </c>
      <c r="L125" s="200">
        <f t="shared" si="38"/>
        <v>-1617.9990538264717</v>
      </c>
      <c r="M125" s="197">
        <f t="shared" si="26"/>
        <v>-54.229571145489878</v>
      </c>
      <c r="N125" s="198">
        <f t="shared" si="27"/>
        <v>-1672.2286249719616</v>
      </c>
      <c r="O125" s="197">
        <v>0</v>
      </c>
      <c r="P125" s="197">
        <v>0</v>
      </c>
      <c r="Q125" s="197">
        <v>0</v>
      </c>
      <c r="R125" s="198">
        <f t="shared" si="28"/>
        <v>-1672.2286249719616</v>
      </c>
    </row>
    <row r="126" spans="1:18" x14ac:dyDescent="0.25">
      <c r="A126" s="150">
        <v>11</v>
      </c>
      <c r="B126" s="189">
        <f t="shared" si="35"/>
        <v>44136</v>
      </c>
      <c r="C126" s="213">
        <f t="shared" si="37"/>
        <v>44168</v>
      </c>
      <c r="D126" s="213">
        <f t="shared" si="37"/>
        <v>44189</v>
      </c>
      <c r="E126" s="54" t="s">
        <v>13</v>
      </c>
      <c r="F126" s="150">
        <v>9</v>
      </c>
      <c r="G126" s="192">
        <v>763</v>
      </c>
      <c r="H126" s="193">
        <f t="shared" si="25"/>
        <v>3.32</v>
      </c>
      <c r="I126" s="193">
        <f t="shared" si="34"/>
        <v>1.0507166145491278</v>
      </c>
      <c r="J126" s="194">
        <f t="shared" si="36"/>
        <v>801.69677690098456</v>
      </c>
      <c r="K126" s="201">
        <f t="shared" si="30"/>
        <v>2533.16</v>
      </c>
      <c r="L126" s="200">
        <f t="shared" si="38"/>
        <v>-1731.4632230990153</v>
      </c>
      <c r="M126" s="197">
        <f t="shared" si="26"/>
        <v>-58.032486373083835</v>
      </c>
      <c r="N126" s="198">
        <f t="shared" si="27"/>
        <v>-1789.4957094720992</v>
      </c>
      <c r="O126" s="197">
        <v>0</v>
      </c>
      <c r="P126" s="197">
        <v>0</v>
      </c>
      <c r="Q126" s="197">
        <v>0</v>
      </c>
      <c r="R126" s="198">
        <f t="shared" si="28"/>
        <v>-1789.4957094720992</v>
      </c>
    </row>
    <row r="127" spans="1:18" s="217" customFormat="1" x14ac:dyDescent="0.25">
      <c r="A127" s="150">
        <v>12</v>
      </c>
      <c r="B127" s="215">
        <f t="shared" si="35"/>
        <v>44166</v>
      </c>
      <c r="C127" s="218">
        <f t="shared" si="37"/>
        <v>44202</v>
      </c>
      <c r="D127" s="218">
        <f t="shared" si="37"/>
        <v>44221</v>
      </c>
      <c r="E127" s="216" t="s">
        <v>13</v>
      </c>
      <c r="F127" s="161">
        <v>9</v>
      </c>
      <c r="G127" s="204">
        <v>988</v>
      </c>
      <c r="H127" s="205">
        <f t="shared" si="25"/>
        <v>3.32</v>
      </c>
      <c r="I127" s="205">
        <f t="shared" si="34"/>
        <v>1.0507166145491278</v>
      </c>
      <c r="J127" s="206">
        <f t="shared" si="36"/>
        <v>1038.1080151745382</v>
      </c>
      <c r="K127" s="207">
        <f t="shared" si="30"/>
        <v>3280.16</v>
      </c>
      <c r="L127" s="208">
        <f t="shared" si="38"/>
        <v>-2242.0519848254617</v>
      </c>
      <c r="M127" s="197">
        <f t="shared" si="26"/>
        <v>-75.145604897256646</v>
      </c>
      <c r="N127" s="198">
        <f t="shared" si="27"/>
        <v>-2317.1975897227185</v>
      </c>
      <c r="O127" s="197">
        <v>0</v>
      </c>
      <c r="P127" s="197">
        <v>0</v>
      </c>
      <c r="Q127" s="197">
        <v>0</v>
      </c>
      <c r="R127" s="198">
        <f t="shared" si="28"/>
        <v>-2317.1975897227185</v>
      </c>
    </row>
    <row r="128" spans="1:18" x14ac:dyDescent="0.25">
      <c r="A128" s="113">
        <v>1</v>
      </c>
      <c r="B128" s="189">
        <f t="shared" si="35"/>
        <v>43831</v>
      </c>
      <c r="C128" s="213">
        <f t="shared" si="37"/>
        <v>43866</v>
      </c>
      <c r="D128" s="213">
        <f t="shared" si="37"/>
        <v>43885</v>
      </c>
      <c r="E128" s="191" t="s">
        <v>15</v>
      </c>
      <c r="F128" s="113">
        <v>9</v>
      </c>
      <c r="G128" s="192">
        <v>6</v>
      </c>
      <c r="H128" s="193">
        <f t="shared" si="25"/>
        <v>3.32</v>
      </c>
      <c r="I128" s="193">
        <f t="shared" ref="I128:I147" si="39">$J$3</f>
        <v>1.0507166145491278</v>
      </c>
      <c r="J128" s="194">
        <f t="shared" si="36"/>
        <v>6.3042996872947672</v>
      </c>
      <c r="K128" s="195">
        <f t="shared" si="30"/>
        <v>19.919999999999998</v>
      </c>
      <c r="L128" s="196">
        <f>+J128-K128</f>
        <v>-13.615700312705231</v>
      </c>
      <c r="M128" s="197">
        <f t="shared" si="26"/>
        <v>-0.45634982731127521</v>
      </c>
      <c r="N128" s="198">
        <f t="shared" si="27"/>
        <v>-14.072050140016506</v>
      </c>
      <c r="O128" s="197">
        <v>0</v>
      </c>
      <c r="P128" s="197">
        <v>0</v>
      </c>
      <c r="Q128" s="197">
        <v>0</v>
      </c>
      <c r="R128" s="198">
        <f t="shared" si="28"/>
        <v>-14.072050140016506</v>
      </c>
    </row>
    <row r="129" spans="1:18" x14ac:dyDescent="0.25">
      <c r="A129" s="150">
        <v>2</v>
      </c>
      <c r="B129" s="189">
        <f t="shared" si="35"/>
        <v>43862</v>
      </c>
      <c r="C129" s="213">
        <f t="shared" si="37"/>
        <v>43894</v>
      </c>
      <c r="D129" s="213">
        <f t="shared" si="37"/>
        <v>43914</v>
      </c>
      <c r="E129" s="199" t="s">
        <v>15</v>
      </c>
      <c r="F129" s="150">
        <v>9</v>
      </c>
      <c r="G129" s="192">
        <v>5</v>
      </c>
      <c r="H129" s="193">
        <f t="shared" si="25"/>
        <v>3.32</v>
      </c>
      <c r="I129" s="193">
        <f t="shared" si="39"/>
        <v>1.0507166145491278</v>
      </c>
      <c r="J129" s="194">
        <f t="shared" si="36"/>
        <v>5.2535830727456387</v>
      </c>
      <c r="K129" s="195">
        <f t="shared" si="30"/>
        <v>16.599999999999998</v>
      </c>
      <c r="L129" s="196">
        <f>+J129-K129</f>
        <v>-11.34641692725436</v>
      </c>
      <c r="M129" s="197">
        <f t="shared" si="26"/>
        <v>-0.38029152275939604</v>
      </c>
      <c r="N129" s="198">
        <f t="shared" si="27"/>
        <v>-11.726708450013756</v>
      </c>
      <c r="O129" s="197">
        <v>0</v>
      </c>
      <c r="P129" s="197">
        <v>0</v>
      </c>
      <c r="Q129" s="197">
        <v>0</v>
      </c>
      <c r="R129" s="198">
        <f t="shared" si="28"/>
        <v>-11.726708450013756</v>
      </c>
    </row>
    <row r="130" spans="1:18" x14ac:dyDescent="0.25">
      <c r="A130" s="150">
        <v>3</v>
      </c>
      <c r="B130" s="189">
        <f t="shared" si="35"/>
        <v>43891</v>
      </c>
      <c r="C130" s="213">
        <f t="shared" si="37"/>
        <v>43924</v>
      </c>
      <c r="D130" s="213">
        <f t="shared" si="37"/>
        <v>43945</v>
      </c>
      <c r="E130" s="199" t="s">
        <v>15</v>
      </c>
      <c r="F130" s="150">
        <v>9</v>
      </c>
      <c r="G130" s="192">
        <v>4</v>
      </c>
      <c r="H130" s="193">
        <f t="shared" si="25"/>
        <v>3.32</v>
      </c>
      <c r="I130" s="193">
        <f t="shared" si="39"/>
        <v>1.0507166145491278</v>
      </c>
      <c r="J130" s="194">
        <f t="shared" si="36"/>
        <v>4.2028664581965112</v>
      </c>
      <c r="K130" s="195">
        <f t="shared" si="30"/>
        <v>13.28</v>
      </c>
      <c r="L130" s="196">
        <f>+J130-K130</f>
        <v>-9.0771335418034873</v>
      </c>
      <c r="M130" s="197">
        <f t="shared" si="26"/>
        <v>-0.30423321820751681</v>
      </c>
      <c r="N130" s="198">
        <f t="shared" si="27"/>
        <v>-9.3813667600110033</v>
      </c>
      <c r="O130" s="197">
        <v>0</v>
      </c>
      <c r="P130" s="197">
        <v>0</v>
      </c>
      <c r="Q130" s="197">
        <v>0</v>
      </c>
      <c r="R130" s="198">
        <f t="shared" si="28"/>
        <v>-9.3813667600110033</v>
      </c>
    </row>
    <row r="131" spans="1:18" x14ac:dyDescent="0.25">
      <c r="A131" s="113">
        <v>4</v>
      </c>
      <c r="B131" s="189">
        <f t="shared" si="35"/>
        <v>43922</v>
      </c>
      <c r="C131" s="213">
        <f t="shared" si="37"/>
        <v>43956</v>
      </c>
      <c r="D131" s="213">
        <f t="shared" si="37"/>
        <v>43976</v>
      </c>
      <c r="E131" s="199" t="s">
        <v>15</v>
      </c>
      <c r="F131" s="150">
        <v>9</v>
      </c>
      <c r="G131" s="192">
        <v>7</v>
      </c>
      <c r="H131" s="193">
        <f t="shared" si="25"/>
        <v>3.32</v>
      </c>
      <c r="I131" s="193">
        <f t="shared" si="39"/>
        <v>1.0507166145491278</v>
      </c>
      <c r="J131" s="194">
        <f t="shared" si="36"/>
        <v>7.3550163018438948</v>
      </c>
      <c r="K131" s="195">
        <f t="shared" si="30"/>
        <v>23.24</v>
      </c>
      <c r="L131" s="196">
        <f t="shared" ref="L131:L141" si="40">+J131-K131</f>
        <v>-15.884983698156104</v>
      </c>
      <c r="M131" s="197">
        <f t="shared" si="26"/>
        <v>-0.53240813186315439</v>
      </c>
      <c r="N131" s="198">
        <f t="shared" si="27"/>
        <v>-16.417391830019259</v>
      </c>
      <c r="O131" s="197">
        <v>0</v>
      </c>
      <c r="P131" s="197">
        <v>0</v>
      </c>
      <c r="Q131" s="197">
        <v>0</v>
      </c>
      <c r="R131" s="198">
        <f t="shared" si="28"/>
        <v>-16.417391830019259</v>
      </c>
    </row>
    <row r="132" spans="1:18" x14ac:dyDescent="0.25">
      <c r="A132" s="150">
        <v>5</v>
      </c>
      <c r="B132" s="189">
        <f t="shared" si="35"/>
        <v>43952</v>
      </c>
      <c r="C132" s="213">
        <f t="shared" si="37"/>
        <v>43985</v>
      </c>
      <c r="D132" s="213">
        <f t="shared" si="37"/>
        <v>44006</v>
      </c>
      <c r="E132" s="54" t="s">
        <v>15</v>
      </c>
      <c r="F132" s="150">
        <v>9</v>
      </c>
      <c r="G132" s="192">
        <v>11</v>
      </c>
      <c r="H132" s="193">
        <f t="shared" si="25"/>
        <v>3.32</v>
      </c>
      <c r="I132" s="193">
        <f t="shared" si="39"/>
        <v>1.0507166145491278</v>
      </c>
      <c r="J132" s="194">
        <f t="shared" si="36"/>
        <v>11.557882760040405</v>
      </c>
      <c r="K132" s="195">
        <f t="shared" si="30"/>
        <v>36.519999999999996</v>
      </c>
      <c r="L132" s="196">
        <f t="shared" si="40"/>
        <v>-24.962117239959589</v>
      </c>
      <c r="M132" s="197">
        <f t="shared" si="26"/>
        <v>-0.83664135007067131</v>
      </c>
      <c r="N132" s="198">
        <f t="shared" si="27"/>
        <v>-25.798758590030261</v>
      </c>
      <c r="O132" s="197">
        <v>0</v>
      </c>
      <c r="P132" s="197">
        <v>0</v>
      </c>
      <c r="Q132" s="197">
        <v>0</v>
      </c>
      <c r="R132" s="198">
        <f t="shared" si="28"/>
        <v>-25.798758590030261</v>
      </c>
    </row>
    <row r="133" spans="1:18" x14ac:dyDescent="0.25">
      <c r="A133" s="150">
        <v>6</v>
      </c>
      <c r="B133" s="189">
        <f t="shared" si="35"/>
        <v>43983</v>
      </c>
      <c r="C133" s="213">
        <f t="shared" si="37"/>
        <v>44015</v>
      </c>
      <c r="D133" s="213">
        <f t="shared" si="37"/>
        <v>44036</v>
      </c>
      <c r="E133" s="54" t="s">
        <v>15</v>
      </c>
      <c r="F133" s="150">
        <v>9</v>
      </c>
      <c r="G133" s="192">
        <v>12</v>
      </c>
      <c r="H133" s="193">
        <f t="shared" si="25"/>
        <v>3.32</v>
      </c>
      <c r="I133" s="193">
        <f t="shared" si="39"/>
        <v>1.0507166145491278</v>
      </c>
      <c r="J133" s="194">
        <f t="shared" si="36"/>
        <v>12.608599374589534</v>
      </c>
      <c r="K133" s="195">
        <f t="shared" si="30"/>
        <v>39.839999999999996</v>
      </c>
      <c r="L133" s="200">
        <f t="shared" si="40"/>
        <v>-27.231400625410462</v>
      </c>
      <c r="M133" s="197">
        <f t="shared" si="26"/>
        <v>-0.91269965462255043</v>
      </c>
      <c r="N133" s="198">
        <f t="shared" si="27"/>
        <v>-28.144100280033012</v>
      </c>
      <c r="O133" s="197">
        <v>0</v>
      </c>
      <c r="P133" s="197">
        <v>0</v>
      </c>
      <c r="Q133" s="197">
        <v>0</v>
      </c>
      <c r="R133" s="198">
        <f t="shared" si="28"/>
        <v>-28.144100280033012</v>
      </c>
    </row>
    <row r="134" spans="1:18" x14ac:dyDescent="0.25">
      <c r="A134" s="113">
        <v>7</v>
      </c>
      <c r="B134" s="189">
        <f t="shared" si="35"/>
        <v>44013</v>
      </c>
      <c r="C134" s="213">
        <f t="shared" si="37"/>
        <v>44048</v>
      </c>
      <c r="D134" s="213">
        <f t="shared" si="37"/>
        <v>44067</v>
      </c>
      <c r="E134" s="54" t="s">
        <v>15</v>
      </c>
      <c r="F134" s="150">
        <v>9</v>
      </c>
      <c r="G134" s="192">
        <v>18</v>
      </c>
      <c r="H134" s="193">
        <f t="shared" si="25"/>
        <v>3.32</v>
      </c>
      <c r="I134" s="193">
        <f t="shared" si="39"/>
        <v>1.0507166145491278</v>
      </c>
      <c r="J134" s="194">
        <f t="shared" si="36"/>
        <v>18.9128990618843</v>
      </c>
      <c r="K134" s="201">
        <f t="shared" ref="K134:K197" si="41">+$G134*H134</f>
        <v>59.76</v>
      </c>
      <c r="L134" s="200">
        <f t="shared" si="40"/>
        <v>-40.847100938115702</v>
      </c>
      <c r="M134" s="197">
        <f t="shared" si="26"/>
        <v>-1.3690494819338257</v>
      </c>
      <c r="N134" s="198">
        <f t="shared" si="27"/>
        <v>-42.21615042004953</v>
      </c>
      <c r="O134" s="197">
        <v>0</v>
      </c>
      <c r="P134" s="197">
        <v>0</v>
      </c>
      <c r="Q134" s="197">
        <v>0</v>
      </c>
      <c r="R134" s="198">
        <f t="shared" si="28"/>
        <v>-42.21615042004953</v>
      </c>
    </row>
    <row r="135" spans="1:18" x14ac:dyDescent="0.25">
      <c r="A135" s="150">
        <v>8</v>
      </c>
      <c r="B135" s="189">
        <f t="shared" si="35"/>
        <v>44044</v>
      </c>
      <c r="C135" s="213">
        <f t="shared" si="37"/>
        <v>44077</v>
      </c>
      <c r="D135" s="213">
        <f t="shared" si="37"/>
        <v>44098</v>
      </c>
      <c r="E135" s="54" t="s">
        <v>15</v>
      </c>
      <c r="F135" s="150">
        <v>9</v>
      </c>
      <c r="G135" s="192">
        <v>16</v>
      </c>
      <c r="H135" s="193">
        <f t="shared" si="25"/>
        <v>3.32</v>
      </c>
      <c r="I135" s="193">
        <f t="shared" si="39"/>
        <v>1.0507166145491278</v>
      </c>
      <c r="J135" s="194">
        <f t="shared" si="36"/>
        <v>16.811465832786045</v>
      </c>
      <c r="K135" s="201">
        <f t="shared" si="41"/>
        <v>53.12</v>
      </c>
      <c r="L135" s="200">
        <f t="shared" si="40"/>
        <v>-36.308534167213949</v>
      </c>
      <c r="M135" s="197">
        <f t="shared" si="26"/>
        <v>-1.2169328728300672</v>
      </c>
      <c r="N135" s="198">
        <f t="shared" si="27"/>
        <v>-37.525467040044013</v>
      </c>
      <c r="O135" s="197">
        <v>0</v>
      </c>
      <c r="P135" s="197">
        <v>0</v>
      </c>
      <c r="Q135" s="197">
        <v>0</v>
      </c>
      <c r="R135" s="198">
        <f t="shared" si="28"/>
        <v>-37.525467040044013</v>
      </c>
    </row>
    <row r="136" spans="1:18" x14ac:dyDescent="0.25">
      <c r="A136" s="150">
        <v>9</v>
      </c>
      <c r="B136" s="189">
        <f t="shared" si="35"/>
        <v>44075</v>
      </c>
      <c r="C136" s="213">
        <f t="shared" si="37"/>
        <v>44109</v>
      </c>
      <c r="D136" s="213">
        <f t="shared" si="37"/>
        <v>44130</v>
      </c>
      <c r="E136" s="54" t="s">
        <v>15</v>
      </c>
      <c r="F136" s="150">
        <v>9</v>
      </c>
      <c r="G136" s="192">
        <v>6</v>
      </c>
      <c r="H136" s="193">
        <f t="shared" si="25"/>
        <v>3.32</v>
      </c>
      <c r="I136" s="193">
        <f t="shared" si="39"/>
        <v>1.0507166145491278</v>
      </c>
      <c r="J136" s="194">
        <f t="shared" si="36"/>
        <v>6.3042996872947672</v>
      </c>
      <c r="K136" s="201">
        <f t="shared" si="41"/>
        <v>19.919999999999998</v>
      </c>
      <c r="L136" s="200">
        <f t="shared" si="40"/>
        <v>-13.615700312705231</v>
      </c>
      <c r="M136" s="197">
        <f t="shared" si="26"/>
        <v>-0.45634982731127521</v>
      </c>
      <c r="N136" s="198">
        <f t="shared" si="27"/>
        <v>-14.072050140016506</v>
      </c>
      <c r="O136" s="197">
        <v>0</v>
      </c>
      <c r="P136" s="197">
        <v>0</v>
      </c>
      <c r="Q136" s="197">
        <v>0</v>
      </c>
      <c r="R136" s="198">
        <f t="shared" si="28"/>
        <v>-14.072050140016506</v>
      </c>
    </row>
    <row r="137" spans="1:18" x14ac:dyDescent="0.25">
      <c r="A137" s="113">
        <v>10</v>
      </c>
      <c r="B137" s="189">
        <f t="shared" si="35"/>
        <v>44105</v>
      </c>
      <c r="C137" s="213">
        <f t="shared" si="37"/>
        <v>44139</v>
      </c>
      <c r="D137" s="213">
        <f t="shared" si="37"/>
        <v>44159</v>
      </c>
      <c r="E137" s="54" t="s">
        <v>15</v>
      </c>
      <c r="F137" s="150">
        <v>9</v>
      </c>
      <c r="G137" s="192">
        <v>7</v>
      </c>
      <c r="H137" s="193">
        <f t="shared" si="25"/>
        <v>3.32</v>
      </c>
      <c r="I137" s="193">
        <f t="shared" si="39"/>
        <v>1.0507166145491278</v>
      </c>
      <c r="J137" s="194">
        <f t="shared" si="36"/>
        <v>7.3550163018438948</v>
      </c>
      <c r="K137" s="201">
        <f t="shared" si="41"/>
        <v>23.24</v>
      </c>
      <c r="L137" s="200">
        <f t="shared" si="40"/>
        <v>-15.884983698156104</v>
      </c>
      <c r="M137" s="197">
        <f t="shared" si="26"/>
        <v>-0.53240813186315439</v>
      </c>
      <c r="N137" s="198">
        <f t="shared" si="27"/>
        <v>-16.417391830019259</v>
      </c>
      <c r="O137" s="197">
        <v>0</v>
      </c>
      <c r="P137" s="197">
        <v>0</v>
      </c>
      <c r="Q137" s="197">
        <v>0</v>
      </c>
      <c r="R137" s="198">
        <f t="shared" si="28"/>
        <v>-16.417391830019259</v>
      </c>
    </row>
    <row r="138" spans="1:18" x14ac:dyDescent="0.25">
      <c r="A138" s="150">
        <v>11</v>
      </c>
      <c r="B138" s="189">
        <f t="shared" si="35"/>
        <v>44136</v>
      </c>
      <c r="C138" s="213">
        <f t="shared" si="37"/>
        <v>44168</v>
      </c>
      <c r="D138" s="213">
        <f t="shared" si="37"/>
        <v>44189</v>
      </c>
      <c r="E138" s="54" t="s">
        <v>15</v>
      </c>
      <c r="F138" s="150">
        <v>9</v>
      </c>
      <c r="G138" s="192">
        <v>6</v>
      </c>
      <c r="H138" s="193">
        <f t="shared" si="25"/>
        <v>3.32</v>
      </c>
      <c r="I138" s="193">
        <f t="shared" si="39"/>
        <v>1.0507166145491278</v>
      </c>
      <c r="J138" s="194">
        <f t="shared" si="36"/>
        <v>6.3042996872947672</v>
      </c>
      <c r="K138" s="201">
        <f t="shared" si="41"/>
        <v>19.919999999999998</v>
      </c>
      <c r="L138" s="200">
        <f t="shared" si="40"/>
        <v>-13.615700312705231</v>
      </c>
      <c r="M138" s="197">
        <f t="shared" si="26"/>
        <v>-0.45634982731127521</v>
      </c>
      <c r="N138" s="198">
        <f t="shared" si="27"/>
        <v>-14.072050140016506</v>
      </c>
      <c r="O138" s="197">
        <v>0</v>
      </c>
      <c r="P138" s="197">
        <v>0</v>
      </c>
      <c r="Q138" s="197">
        <v>0</v>
      </c>
      <c r="R138" s="198">
        <f t="shared" si="28"/>
        <v>-14.072050140016506</v>
      </c>
    </row>
    <row r="139" spans="1:18" s="217" customFormat="1" x14ac:dyDescent="0.25">
      <c r="A139" s="150">
        <v>12</v>
      </c>
      <c r="B139" s="215">
        <f t="shared" si="35"/>
        <v>44166</v>
      </c>
      <c r="C139" s="213">
        <f t="shared" si="37"/>
        <v>44202</v>
      </c>
      <c r="D139" s="213">
        <f t="shared" si="37"/>
        <v>44221</v>
      </c>
      <c r="E139" s="216" t="s">
        <v>15</v>
      </c>
      <c r="F139" s="161">
        <v>9</v>
      </c>
      <c r="G139" s="204">
        <v>8</v>
      </c>
      <c r="H139" s="205">
        <f t="shared" si="25"/>
        <v>3.32</v>
      </c>
      <c r="I139" s="205">
        <f t="shared" si="39"/>
        <v>1.0507166145491278</v>
      </c>
      <c r="J139" s="206">
        <f t="shared" si="36"/>
        <v>8.4057329163930223</v>
      </c>
      <c r="K139" s="207">
        <f t="shared" si="41"/>
        <v>26.56</v>
      </c>
      <c r="L139" s="208">
        <f t="shared" si="40"/>
        <v>-18.154267083606975</v>
      </c>
      <c r="M139" s="197">
        <f t="shared" si="26"/>
        <v>-0.60846643641503362</v>
      </c>
      <c r="N139" s="198">
        <f t="shared" si="27"/>
        <v>-18.762733520022007</v>
      </c>
      <c r="O139" s="197">
        <v>0</v>
      </c>
      <c r="P139" s="197">
        <v>0</v>
      </c>
      <c r="Q139" s="197">
        <v>0</v>
      </c>
      <c r="R139" s="198">
        <f t="shared" si="28"/>
        <v>-18.762733520022007</v>
      </c>
    </row>
    <row r="140" spans="1:18" x14ac:dyDescent="0.25">
      <c r="A140" s="113">
        <v>1</v>
      </c>
      <c r="B140" s="189">
        <f t="shared" si="35"/>
        <v>43831</v>
      </c>
      <c r="C140" s="210">
        <f t="shared" ref="C140:D151" si="42">+C128</f>
        <v>43866</v>
      </c>
      <c r="D140" s="210">
        <f t="shared" si="42"/>
        <v>43885</v>
      </c>
      <c r="E140" s="220" t="s">
        <v>16</v>
      </c>
      <c r="F140" s="150">
        <v>9</v>
      </c>
      <c r="G140" s="192">
        <v>2</v>
      </c>
      <c r="H140" s="193">
        <f t="shared" si="25"/>
        <v>3.32</v>
      </c>
      <c r="I140" s="193">
        <f t="shared" si="39"/>
        <v>1.0507166145491278</v>
      </c>
      <c r="J140" s="194">
        <f t="shared" si="36"/>
        <v>2.1014332290982556</v>
      </c>
      <c r="K140" s="195">
        <f t="shared" si="41"/>
        <v>6.64</v>
      </c>
      <c r="L140" s="196">
        <f t="shared" si="40"/>
        <v>-4.5385667709017437</v>
      </c>
      <c r="M140" s="197">
        <f t="shared" si="26"/>
        <v>-0.1521166091037584</v>
      </c>
      <c r="N140" s="198">
        <f t="shared" si="27"/>
        <v>-4.6906833800055017</v>
      </c>
      <c r="O140" s="197">
        <v>0</v>
      </c>
      <c r="P140" s="197">
        <v>0</v>
      </c>
      <c r="Q140" s="197">
        <v>0</v>
      </c>
      <c r="R140" s="198">
        <f t="shared" si="28"/>
        <v>-4.6906833800055017</v>
      </c>
    </row>
    <row r="141" spans="1:18" x14ac:dyDescent="0.25">
      <c r="A141" s="150">
        <v>2</v>
      </c>
      <c r="B141" s="189">
        <f t="shared" si="35"/>
        <v>43862</v>
      </c>
      <c r="C141" s="213">
        <f t="shared" si="42"/>
        <v>43894</v>
      </c>
      <c r="D141" s="213">
        <f t="shared" si="42"/>
        <v>43914</v>
      </c>
      <c r="E141" s="54" t="s">
        <v>16</v>
      </c>
      <c r="F141" s="150">
        <v>9</v>
      </c>
      <c r="G141" s="192">
        <v>3</v>
      </c>
      <c r="H141" s="193">
        <f t="shared" si="25"/>
        <v>3.32</v>
      </c>
      <c r="I141" s="193">
        <f t="shared" si="39"/>
        <v>1.0507166145491278</v>
      </c>
      <c r="J141" s="194">
        <f t="shared" si="36"/>
        <v>3.1521498436473836</v>
      </c>
      <c r="K141" s="195">
        <f t="shared" si="41"/>
        <v>9.9599999999999991</v>
      </c>
      <c r="L141" s="196">
        <f t="shared" si="40"/>
        <v>-6.8078501563526155</v>
      </c>
      <c r="M141" s="197">
        <f t="shared" si="26"/>
        <v>-0.22817491365563761</v>
      </c>
      <c r="N141" s="198">
        <f t="shared" si="27"/>
        <v>-7.0360250700082529</v>
      </c>
      <c r="O141" s="197">
        <v>0</v>
      </c>
      <c r="P141" s="197">
        <v>0</v>
      </c>
      <c r="Q141" s="197">
        <v>0</v>
      </c>
      <c r="R141" s="198">
        <f t="shared" si="28"/>
        <v>-7.0360250700082529</v>
      </c>
    </row>
    <row r="142" spans="1:18" x14ac:dyDescent="0.25">
      <c r="A142" s="150">
        <v>3</v>
      </c>
      <c r="B142" s="189">
        <f t="shared" si="35"/>
        <v>43891</v>
      </c>
      <c r="C142" s="213">
        <f t="shared" si="42"/>
        <v>43924</v>
      </c>
      <c r="D142" s="213">
        <f t="shared" si="42"/>
        <v>43945</v>
      </c>
      <c r="E142" s="54" t="s">
        <v>16</v>
      </c>
      <c r="F142" s="150">
        <v>9</v>
      </c>
      <c r="G142" s="192">
        <v>1</v>
      </c>
      <c r="H142" s="193">
        <f t="shared" si="25"/>
        <v>3.32</v>
      </c>
      <c r="I142" s="193">
        <f t="shared" si="39"/>
        <v>1.0507166145491278</v>
      </c>
      <c r="J142" s="194">
        <f t="shared" si="36"/>
        <v>1.0507166145491278</v>
      </c>
      <c r="K142" s="195">
        <f t="shared" si="41"/>
        <v>3.32</v>
      </c>
      <c r="L142" s="196">
        <f>+J142-K142</f>
        <v>-2.2692833854508718</v>
      </c>
      <c r="M142" s="197">
        <f t="shared" si="26"/>
        <v>-7.6058304551879202E-2</v>
      </c>
      <c r="N142" s="198">
        <f t="shared" si="27"/>
        <v>-2.3453416900027508</v>
      </c>
      <c r="O142" s="197">
        <v>0</v>
      </c>
      <c r="P142" s="197">
        <v>0</v>
      </c>
      <c r="Q142" s="197">
        <v>0</v>
      </c>
      <c r="R142" s="198">
        <f t="shared" si="28"/>
        <v>-2.3453416900027508</v>
      </c>
    </row>
    <row r="143" spans="1:18" x14ac:dyDescent="0.25">
      <c r="A143" s="113">
        <v>4</v>
      </c>
      <c r="B143" s="189">
        <f t="shared" si="35"/>
        <v>43922</v>
      </c>
      <c r="C143" s="213">
        <f t="shared" si="42"/>
        <v>43956</v>
      </c>
      <c r="D143" s="213">
        <f t="shared" si="42"/>
        <v>43976</v>
      </c>
      <c r="E143" s="54" t="s">
        <v>16</v>
      </c>
      <c r="F143" s="150">
        <v>9</v>
      </c>
      <c r="G143" s="192">
        <v>2</v>
      </c>
      <c r="H143" s="193">
        <f t="shared" si="25"/>
        <v>3.32</v>
      </c>
      <c r="I143" s="193">
        <f t="shared" si="39"/>
        <v>1.0507166145491278</v>
      </c>
      <c r="J143" s="194">
        <f t="shared" si="36"/>
        <v>2.1014332290982556</v>
      </c>
      <c r="K143" s="195">
        <f t="shared" si="41"/>
        <v>6.64</v>
      </c>
      <c r="L143" s="196">
        <f t="shared" ref="L143:L153" si="43">+J143-K143</f>
        <v>-4.5385667709017437</v>
      </c>
      <c r="M143" s="197">
        <f t="shared" si="26"/>
        <v>-0.1521166091037584</v>
      </c>
      <c r="N143" s="198">
        <f t="shared" si="27"/>
        <v>-4.6906833800055017</v>
      </c>
      <c r="O143" s="197">
        <v>0</v>
      </c>
      <c r="P143" s="197">
        <v>0</v>
      </c>
      <c r="Q143" s="197">
        <v>0</v>
      </c>
      <c r="R143" s="198">
        <f t="shared" si="28"/>
        <v>-4.6906833800055017</v>
      </c>
    </row>
    <row r="144" spans="1:18" x14ac:dyDescent="0.25">
      <c r="A144" s="150">
        <v>5</v>
      </c>
      <c r="B144" s="189">
        <f t="shared" si="35"/>
        <v>43952</v>
      </c>
      <c r="C144" s="213">
        <f t="shared" si="42"/>
        <v>43985</v>
      </c>
      <c r="D144" s="213">
        <f t="shared" si="42"/>
        <v>44006</v>
      </c>
      <c r="E144" s="54" t="s">
        <v>16</v>
      </c>
      <c r="F144" s="150">
        <v>9</v>
      </c>
      <c r="G144" s="192">
        <v>2</v>
      </c>
      <c r="H144" s="193">
        <f t="shared" si="25"/>
        <v>3.32</v>
      </c>
      <c r="I144" s="193">
        <f t="shared" si="39"/>
        <v>1.0507166145491278</v>
      </c>
      <c r="J144" s="194">
        <f t="shared" si="36"/>
        <v>2.1014332290982556</v>
      </c>
      <c r="K144" s="195">
        <f t="shared" si="41"/>
        <v>6.64</v>
      </c>
      <c r="L144" s="196">
        <f t="shared" si="43"/>
        <v>-4.5385667709017437</v>
      </c>
      <c r="M144" s="197">
        <f t="shared" si="26"/>
        <v>-0.1521166091037584</v>
      </c>
      <c r="N144" s="198">
        <f t="shared" si="27"/>
        <v>-4.6906833800055017</v>
      </c>
      <c r="O144" s="197">
        <v>0</v>
      </c>
      <c r="P144" s="197">
        <v>0</v>
      </c>
      <c r="Q144" s="197">
        <v>0</v>
      </c>
      <c r="R144" s="198">
        <f t="shared" si="28"/>
        <v>-4.6906833800055017</v>
      </c>
    </row>
    <row r="145" spans="1:19" x14ac:dyDescent="0.25">
      <c r="A145" s="150">
        <v>6</v>
      </c>
      <c r="B145" s="189">
        <f t="shared" si="35"/>
        <v>43983</v>
      </c>
      <c r="C145" s="213">
        <f t="shared" si="42"/>
        <v>44015</v>
      </c>
      <c r="D145" s="213">
        <f t="shared" si="42"/>
        <v>44036</v>
      </c>
      <c r="E145" s="54" t="s">
        <v>16</v>
      </c>
      <c r="F145" s="150">
        <v>9</v>
      </c>
      <c r="G145" s="192">
        <v>4</v>
      </c>
      <c r="H145" s="193">
        <f t="shared" si="25"/>
        <v>3.32</v>
      </c>
      <c r="I145" s="193">
        <f t="shared" si="39"/>
        <v>1.0507166145491278</v>
      </c>
      <c r="J145" s="194">
        <f t="shared" si="36"/>
        <v>4.2028664581965112</v>
      </c>
      <c r="K145" s="195">
        <f t="shared" si="41"/>
        <v>13.28</v>
      </c>
      <c r="L145" s="200">
        <f t="shared" si="43"/>
        <v>-9.0771335418034873</v>
      </c>
      <c r="M145" s="197">
        <f t="shared" si="26"/>
        <v>-0.30423321820751681</v>
      </c>
      <c r="N145" s="198">
        <f t="shared" si="27"/>
        <v>-9.3813667600110033</v>
      </c>
      <c r="O145" s="197">
        <v>0</v>
      </c>
      <c r="P145" s="197">
        <v>0</v>
      </c>
      <c r="Q145" s="197">
        <v>0</v>
      </c>
      <c r="R145" s="198">
        <f t="shared" si="28"/>
        <v>-9.3813667600110033</v>
      </c>
    </row>
    <row r="146" spans="1:19" x14ac:dyDescent="0.25">
      <c r="A146" s="113">
        <v>7</v>
      </c>
      <c r="B146" s="189">
        <f t="shared" si="35"/>
        <v>44013</v>
      </c>
      <c r="C146" s="213">
        <f t="shared" si="42"/>
        <v>44048</v>
      </c>
      <c r="D146" s="213">
        <f t="shared" si="42"/>
        <v>44067</v>
      </c>
      <c r="E146" s="54" t="s">
        <v>16</v>
      </c>
      <c r="F146" s="150">
        <v>9</v>
      </c>
      <c r="G146" s="192">
        <v>6</v>
      </c>
      <c r="H146" s="193">
        <f t="shared" si="25"/>
        <v>3.32</v>
      </c>
      <c r="I146" s="193">
        <f t="shared" si="39"/>
        <v>1.0507166145491278</v>
      </c>
      <c r="J146" s="194">
        <f t="shared" si="36"/>
        <v>6.3042996872947672</v>
      </c>
      <c r="K146" s="201">
        <f t="shared" si="41"/>
        <v>19.919999999999998</v>
      </c>
      <c r="L146" s="200">
        <f t="shared" si="43"/>
        <v>-13.615700312705231</v>
      </c>
      <c r="M146" s="197">
        <f t="shared" si="26"/>
        <v>-0.45634982731127521</v>
      </c>
      <c r="N146" s="198">
        <f t="shared" si="27"/>
        <v>-14.072050140016506</v>
      </c>
      <c r="O146" s="197">
        <v>0</v>
      </c>
      <c r="P146" s="197">
        <v>0</v>
      </c>
      <c r="Q146" s="197">
        <v>0</v>
      </c>
      <c r="R146" s="198">
        <f t="shared" si="28"/>
        <v>-14.072050140016506</v>
      </c>
    </row>
    <row r="147" spans="1:19" x14ac:dyDescent="0.25">
      <c r="A147" s="150">
        <v>8</v>
      </c>
      <c r="B147" s="189">
        <f t="shared" si="35"/>
        <v>44044</v>
      </c>
      <c r="C147" s="213">
        <f t="shared" si="42"/>
        <v>44077</v>
      </c>
      <c r="D147" s="213">
        <f t="shared" si="42"/>
        <v>44098</v>
      </c>
      <c r="E147" s="54" t="s">
        <v>16</v>
      </c>
      <c r="F147" s="150">
        <v>9</v>
      </c>
      <c r="G147" s="192">
        <v>5</v>
      </c>
      <c r="H147" s="193">
        <f t="shared" si="25"/>
        <v>3.32</v>
      </c>
      <c r="I147" s="193">
        <f t="shared" si="39"/>
        <v>1.0507166145491278</v>
      </c>
      <c r="J147" s="194">
        <f t="shared" si="36"/>
        <v>5.2535830727456387</v>
      </c>
      <c r="K147" s="201">
        <f t="shared" si="41"/>
        <v>16.599999999999998</v>
      </c>
      <c r="L147" s="200">
        <f t="shared" si="43"/>
        <v>-11.34641692725436</v>
      </c>
      <c r="M147" s="197">
        <f t="shared" si="26"/>
        <v>-0.38029152275939604</v>
      </c>
      <c r="N147" s="198">
        <f t="shared" si="27"/>
        <v>-11.726708450013756</v>
      </c>
      <c r="O147" s="197">
        <v>0</v>
      </c>
      <c r="P147" s="197">
        <v>0</v>
      </c>
      <c r="Q147" s="197">
        <v>0</v>
      </c>
      <c r="R147" s="198">
        <f t="shared" si="28"/>
        <v>-11.726708450013756</v>
      </c>
    </row>
    <row r="148" spans="1:19" x14ac:dyDescent="0.25">
      <c r="A148" s="150">
        <v>9</v>
      </c>
      <c r="B148" s="189">
        <f t="shared" si="35"/>
        <v>44075</v>
      </c>
      <c r="C148" s="213">
        <f t="shared" si="42"/>
        <v>44109</v>
      </c>
      <c r="D148" s="213">
        <f t="shared" si="42"/>
        <v>44130</v>
      </c>
      <c r="E148" s="54" t="s">
        <v>16</v>
      </c>
      <c r="F148" s="150">
        <v>9</v>
      </c>
      <c r="G148" s="192">
        <v>2</v>
      </c>
      <c r="H148" s="193">
        <f t="shared" si="25"/>
        <v>3.32</v>
      </c>
      <c r="I148" s="193">
        <f t="shared" ref="I148:I179" si="44">$J$3</f>
        <v>1.0507166145491278</v>
      </c>
      <c r="J148" s="194">
        <f t="shared" si="36"/>
        <v>2.1014332290982556</v>
      </c>
      <c r="K148" s="201">
        <f t="shared" si="41"/>
        <v>6.64</v>
      </c>
      <c r="L148" s="200">
        <f t="shared" si="43"/>
        <v>-4.5385667709017437</v>
      </c>
      <c r="M148" s="197">
        <f t="shared" si="26"/>
        <v>-0.1521166091037584</v>
      </c>
      <c r="N148" s="198">
        <f t="shared" si="27"/>
        <v>-4.6906833800055017</v>
      </c>
      <c r="O148" s="197">
        <v>0</v>
      </c>
      <c r="P148" s="197">
        <v>0</v>
      </c>
      <c r="Q148" s="197">
        <v>0</v>
      </c>
      <c r="R148" s="198">
        <f t="shared" si="28"/>
        <v>-4.6906833800055017</v>
      </c>
    </row>
    <row r="149" spans="1:19" x14ac:dyDescent="0.25">
      <c r="A149" s="113">
        <v>10</v>
      </c>
      <c r="B149" s="189">
        <f t="shared" ref="B149:B211" si="45">DATE($R$1,A149,1)</f>
        <v>44105</v>
      </c>
      <c r="C149" s="213">
        <f t="shared" si="42"/>
        <v>44139</v>
      </c>
      <c r="D149" s="213">
        <f t="shared" si="42"/>
        <v>44159</v>
      </c>
      <c r="E149" s="54" t="s">
        <v>16</v>
      </c>
      <c r="F149" s="150">
        <v>9</v>
      </c>
      <c r="G149" s="192">
        <v>1</v>
      </c>
      <c r="H149" s="193">
        <f t="shared" ref="H149:H211" si="46">+$K$3</f>
        <v>3.32</v>
      </c>
      <c r="I149" s="193">
        <f t="shared" si="44"/>
        <v>1.0507166145491278</v>
      </c>
      <c r="J149" s="194">
        <f t="shared" ref="J149:J211" si="47">+$G149*I149</f>
        <v>1.0507166145491278</v>
      </c>
      <c r="K149" s="201">
        <f t="shared" si="41"/>
        <v>3.32</v>
      </c>
      <c r="L149" s="200">
        <f t="shared" si="43"/>
        <v>-2.2692833854508718</v>
      </c>
      <c r="M149" s="197">
        <f t="shared" ref="M149:M211" si="48">G149/$G$212*$M$14</f>
        <v>-7.6058304551879202E-2</v>
      </c>
      <c r="N149" s="198">
        <f t="shared" ref="N149:N211" si="49">SUM(L149:M149)</f>
        <v>-2.3453416900027508</v>
      </c>
      <c r="O149" s="197">
        <v>0</v>
      </c>
      <c r="P149" s="197">
        <v>0</v>
      </c>
      <c r="Q149" s="197">
        <v>0</v>
      </c>
      <c r="R149" s="198">
        <f t="shared" ref="R149:R211" si="50">+N149-Q149</f>
        <v>-2.3453416900027508</v>
      </c>
    </row>
    <row r="150" spans="1:19" x14ac:dyDescent="0.25">
      <c r="A150" s="150">
        <v>11</v>
      </c>
      <c r="B150" s="189">
        <f t="shared" si="45"/>
        <v>44136</v>
      </c>
      <c r="C150" s="213">
        <f t="shared" si="42"/>
        <v>44168</v>
      </c>
      <c r="D150" s="213">
        <f t="shared" si="42"/>
        <v>44189</v>
      </c>
      <c r="E150" s="54" t="s">
        <v>16</v>
      </c>
      <c r="F150" s="150">
        <v>9</v>
      </c>
      <c r="G150" s="192">
        <v>3</v>
      </c>
      <c r="H150" s="193">
        <f t="shared" si="46"/>
        <v>3.32</v>
      </c>
      <c r="I150" s="193">
        <f t="shared" si="44"/>
        <v>1.0507166145491278</v>
      </c>
      <c r="J150" s="194">
        <f t="shared" si="47"/>
        <v>3.1521498436473836</v>
      </c>
      <c r="K150" s="201">
        <f t="shared" si="41"/>
        <v>9.9599999999999991</v>
      </c>
      <c r="L150" s="200">
        <f t="shared" si="43"/>
        <v>-6.8078501563526155</v>
      </c>
      <c r="M150" s="197">
        <f t="shared" si="48"/>
        <v>-0.22817491365563761</v>
      </c>
      <c r="N150" s="198">
        <f t="shared" si="49"/>
        <v>-7.0360250700082529</v>
      </c>
      <c r="O150" s="197">
        <v>0</v>
      </c>
      <c r="P150" s="197">
        <v>0</v>
      </c>
      <c r="Q150" s="197">
        <v>0</v>
      </c>
      <c r="R150" s="198">
        <f t="shared" si="50"/>
        <v>-7.0360250700082529</v>
      </c>
    </row>
    <row r="151" spans="1:19" s="217" customFormat="1" x14ac:dyDescent="0.25">
      <c r="A151" s="150">
        <v>12</v>
      </c>
      <c r="B151" s="215">
        <f t="shared" si="45"/>
        <v>44166</v>
      </c>
      <c r="C151" s="213">
        <f t="shared" si="42"/>
        <v>44202</v>
      </c>
      <c r="D151" s="213">
        <f t="shared" si="42"/>
        <v>44221</v>
      </c>
      <c r="E151" s="216" t="s">
        <v>16</v>
      </c>
      <c r="F151" s="161">
        <v>9</v>
      </c>
      <c r="G151" s="204">
        <v>1</v>
      </c>
      <c r="H151" s="205">
        <f t="shared" si="46"/>
        <v>3.32</v>
      </c>
      <c r="I151" s="205">
        <f t="shared" si="44"/>
        <v>1.0507166145491278</v>
      </c>
      <c r="J151" s="206">
        <f t="shared" si="47"/>
        <v>1.0507166145491278</v>
      </c>
      <c r="K151" s="207">
        <f t="shared" si="41"/>
        <v>3.32</v>
      </c>
      <c r="L151" s="208">
        <f t="shared" si="43"/>
        <v>-2.2692833854508718</v>
      </c>
      <c r="M151" s="197">
        <f t="shared" si="48"/>
        <v>-7.6058304551879202E-2</v>
      </c>
      <c r="N151" s="198">
        <f t="shared" si="49"/>
        <v>-2.3453416900027508</v>
      </c>
      <c r="O151" s="197">
        <v>0</v>
      </c>
      <c r="P151" s="197">
        <v>0</v>
      </c>
      <c r="Q151" s="197">
        <v>0</v>
      </c>
      <c r="R151" s="198">
        <f t="shared" si="50"/>
        <v>-2.3453416900027508</v>
      </c>
    </row>
    <row r="152" spans="1:19" x14ac:dyDescent="0.25">
      <c r="A152" s="113">
        <v>1</v>
      </c>
      <c r="B152" s="189">
        <f t="shared" si="45"/>
        <v>43831</v>
      </c>
      <c r="C152" s="210">
        <f t="shared" ref="C152:D171" si="51">+C140</f>
        <v>43866</v>
      </c>
      <c r="D152" s="210">
        <f t="shared" si="51"/>
        <v>43885</v>
      </c>
      <c r="E152" s="220" t="s">
        <v>56</v>
      </c>
      <c r="F152" s="113">
        <v>9</v>
      </c>
      <c r="G152" s="192">
        <v>109</v>
      </c>
      <c r="H152" s="193">
        <f t="shared" si="46"/>
        <v>3.32</v>
      </c>
      <c r="I152" s="193">
        <f t="shared" si="44"/>
        <v>1.0507166145491278</v>
      </c>
      <c r="J152" s="194">
        <f t="shared" si="47"/>
        <v>114.52811098585492</v>
      </c>
      <c r="K152" s="195">
        <f t="shared" si="41"/>
        <v>361.88</v>
      </c>
      <c r="L152" s="196">
        <f t="shared" si="43"/>
        <v>-247.35188901414506</v>
      </c>
      <c r="M152" s="197">
        <f t="shared" si="48"/>
        <v>-8.2903551961548327</v>
      </c>
      <c r="N152" s="198">
        <f t="shared" si="49"/>
        <v>-255.64224421029988</v>
      </c>
      <c r="O152" s="197">
        <v>0</v>
      </c>
      <c r="P152" s="197">
        <v>0</v>
      </c>
      <c r="Q152" s="197">
        <v>0</v>
      </c>
      <c r="R152" s="198">
        <f t="shared" si="50"/>
        <v>-255.64224421029988</v>
      </c>
    </row>
    <row r="153" spans="1:19" x14ac:dyDescent="0.25">
      <c r="A153" s="150">
        <v>2</v>
      </c>
      <c r="B153" s="189">
        <f t="shared" si="45"/>
        <v>43862</v>
      </c>
      <c r="C153" s="213">
        <f t="shared" si="51"/>
        <v>43894</v>
      </c>
      <c r="D153" s="213">
        <f t="shared" si="51"/>
        <v>43914</v>
      </c>
      <c r="E153" s="221" t="s">
        <v>56</v>
      </c>
      <c r="F153" s="150">
        <v>9</v>
      </c>
      <c r="G153" s="192">
        <v>104</v>
      </c>
      <c r="H153" s="193">
        <f t="shared" si="46"/>
        <v>3.32</v>
      </c>
      <c r="I153" s="193">
        <f t="shared" si="44"/>
        <v>1.0507166145491278</v>
      </c>
      <c r="J153" s="194">
        <f t="shared" si="47"/>
        <v>109.2745279131093</v>
      </c>
      <c r="K153" s="195">
        <f t="shared" si="41"/>
        <v>345.28</v>
      </c>
      <c r="L153" s="196">
        <f t="shared" si="43"/>
        <v>-236.00547208689068</v>
      </c>
      <c r="M153" s="197">
        <f t="shared" si="48"/>
        <v>-7.9100636733954373</v>
      </c>
      <c r="N153" s="198">
        <f t="shared" si="49"/>
        <v>-243.9155357602861</v>
      </c>
      <c r="O153" s="197">
        <v>0</v>
      </c>
      <c r="P153" s="197">
        <v>0</v>
      </c>
      <c r="Q153" s="197">
        <v>0</v>
      </c>
      <c r="R153" s="198">
        <f t="shared" si="50"/>
        <v>-243.9155357602861</v>
      </c>
    </row>
    <row r="154" spans="1:19" x14ac:dyDescent="0.25">
      <c r="A154" s="150">
        <v>3</v>
      </c>
      <c r="B154" s="189">
        <f t="shared" si="45"/>
        <v>43891</v>
      </c>
      <c r="C154" s="213">
        <f t="shared" si="51"/>
        <v>43924</v>
      </c>
      <c r="D154" s="213">
        <f t="shared" si="51"/>
        <v>43945</v>
      </c>
      <c r="E154" s="221" t="s">
        <v>56</v>
      </c>
      <c r="F154" s="150">
        <v>9</v>
      </c>
      <c r="G154" s="192">
        <v>87</v>
      </c>
      <c r="H154" s="193">
        <f t="shared" si="46"/>
        <v>3.32</v>
      </c>
      <c r="I154" s="193">
        <f t="shared" si="44"/>
        <v>1.0507166145491278</v>
      </c>
      <c r="J154" s="194">
        <f t="shared" si="47"/>
        <v>91.412345465774123</v>
      </c>
      <c r="K154" s="195">
        <f t="shared" si="41"/>
        <v>288.83999999999997</v>
      </c>
      <c r="L154" s="196">
        <f>+J154-K154</f>
        <v>-197.42765453422584</v>
      </c>
      <c r="M154" s="197">
        <f t="shared" si="48"/>
        <v>-6.617072496013491</v>
      </c>
      <c r="N154" s="198">
        <f t="shared" si="49"/>
        <v>-204.04472703023933</v>
      </c>
      <c r="O154" s="197">
        <v>0</v>
      </c>
      <c r="P154" s="197">
        <v>0</v>
      </c>
      <c r="Q154" s="197">
        <v>0</v>
      </c>
      <c r="R154" s="198">
        <f t="shared" si="50"/>
        <v>-204.04472703023933</v>
      </c>
    </row>
    <row r="155" spans="1:19" x14ac:dyDescent="0.25">
      <c r="A155" s="113">
        <v>4</v>
      </c>
      <c r="B155" s="189">
        <f t="shared" si="45"/>
        <v>43922</v>
      </c>
      <c r="C155" s="213">
        <f t="shared" si="51"/>
        <v>43956</v>
      </c>
      <c r="D155" s="213">
        <f t="shared" si="51"/>
        <v>43976</v>
      </c>
      <c r="E155" s="221" t="s">
        <v>56</v>
      </c>
      <c r="F155" s="150">
        <v>9</v>
      </c>
      <c r="G155" s="192">
        <v>102</v>
      </c>
      <c r="H155" s="193">
        <f t="shared" si="46"/>
        <v>3.32</v>
      </c>
      <c r="I155" s="193">
        <f t="shared" si="44"/>
        <v>1.0507166145491278</v>
      </c>
      <c r="J155" s="194">
        <f t="shared" si="47"/>
        <v>107.17309468401103</v>
      </c>
      <c r="K155" s="195">
        <f t="shared" si="41"/>
        <v>338.64</v>
      </c>
      <c r="L155" s="196">
        <f t="shared" ref="L155:L165" si="52">+J155-K155</f>
        <v>-231.46690531598895</v>
      </c>
      <c r="M155" s="197">
        <f t="shared" si="48"/>
        <v>-7.7579470642916792</v>
      </c>
      <c r="N155" s="198">
        <f t="shared" si="49"/>
        <v>-239.22485238028062</v>
      </c>
      <c r="O155" s="197">
        <v>0</v>
      </c>
      <c r="P155" s="197">
        <v>0</v>
      </c>
      <c r="Q155" s="197">
        <v>0</v>
      </c>
      <c r="R155" s="198">
        <f t="shared" si="50"/>
        <v>-239.22485238028062</v>
      </c>
    </row>
    <row r="156" spans="1:19" x14ac:dyDescent="0.25">
      <c r="A156" s="150">
        <v>5</v>
      </c>
      <c r="B156" s="189">
        <f t="shared" si="45"/>
        <v>43952</v>
      </c>
      <c r="C156" s="213">
        <f t="shared" si="51"/>
        <v>43985</v>
      </c>
      <c r="D156" s="213">
        <f t="shared" si="51"/>
        <v>44006</v>
      </c>
      <c r="E156" s="221" t="s">
        <v>56</v>
      </c>
      <c r="F156" s="150">
        <v>9</v>
      </c>
      <c r="G156" s="192">
        <v>92</v>
      </c>
      <c r="H156" s="193">
        <f t="shared" si="46"/>
        <v>3.32</v>
      </c>
      <c r="I156" s="193">
        <f t="shared" si="44"/>
        <v>1.0507166145491278</v>
      </c>
      <c r="J156" s="194">
        <f t="shared" si="47"/>
        <v>96.665928538519751</v>
      </c>
      <c r="K156" s="195">
        <f t="shared" si="41"/>
        <v>305.44</v>
      </c>
      <c r="L156" s="196">
        <f t="shared" si="52"/>
        <v>-208.77407146148025</v>
      </c>
      <c r="M156" s="197">
        <f t="shared" si="48"/>
        <v>-6.9973640187728865</v>
      </c>
      <c r="N156" s="198">
        <f t="shared" si="49"/>
        <v>-215.77143548025313</v>
      </c>
      <c r="O156" s="197">
        <v>0</v>
      </c>
      <c r="P156" s="197">
        <v>0</v>
      </c>
      <c r="Q156" s="197">
        <v>0</v>
      </c>
      <c r="R156" s="198">
        <f t="shared" si="50"/>
        <v>-215.77143548025313</v>
      </c>
    </row>
    <row r="157" spans="1:19" x14ac:dyDescent="0.25">
      <c r="A157" s="150">
        <v>6</v>
      </c>
      <c r="B157" s="189">
        <f t="shared" si="45"/>
        <v>43983</v>
      </c>
      <c r="C157" s="213">
        <f t="shared" si="51"/>
        <v>44015</v>
      </c>
      <c r="D157" s="213">
        <f t="shared" si="51"/>
        <v>44036</v>
      </c>
      <c r="E157" s="221" t="s">
        <v>56</v>
      </c>
      <c r="F157" s="150">
        <v>9</v>
      </c>
      <c r="G157" s="192">
        <v>143</v>
      </c>
      <c r="H157" s="193">
        <f t="shared" si="46"/>
        <v>3.32</v>
      </c>
      <c r="I157" s="193">
        <f t="shared" si="44"/>
        <v>1.0507166145491278</v>
      </c>
      <c r="J157" s="194">
        <f t="shared" si="47"/>
        <v>150.25247588052528</v>
      </c>
      <c r="K157" s="195">
        <f t="shared" si="41"/>
        <v>474.76</v>
      </c>
      <c r="L157" s="200">
        <f t="shared" si="52"/>
        <v>-324.50752411947474</v>
      </c>
      <c r="M157" s="197">
        <f t="shared" si="48"/>
        <v>-10.876337550918727</v>
      </c>
      <c r="N157" s="198">
        <f t="shared" si="49"/>
        <v>-335.38386167039346</v>
      </c>
      <c r="O157" s="197">
        <v>0</v>
      </c>
      <c r="P157" s="197">
        <v>0</v>
      </c>
      <c r="Q157" s="197">
        <v>0</v>
      </c>
      <c r="R157" s="198">
        <f t="shared" si="50"/>
        <v>-335.38386167039346</v>
      </c>
    </row>
    <row r="158" spans="1:19" x14ac:dyDescent="0.25">
      <c r="A158" s="113">
        <v>7</v>
      </c>
      <c r="B158" s="189">
        <f t="shared" si="45"/>
        <v>44013</v>
      </c>
      <c r="C158" s="213">
        <f t="shared" si="51"/>
        <v>44048</v>
      </c>
      <c r="D158" s="213">
        <f t="shared" si="51"/>
        <v>44067</v>
      </c>
      <c r="E158" s="221" t="s">
        <v>56</v>
      </c>
      <c r="F158" s="150">
        <v>9</v>
      </c>
      <c r="G158" s="192">
        <v>138</v>
      </c>
      <c r="H158" s="193">
        <f t="shared" si="46"/>
        <v>3.32</v>
      </c>
      <c r="I158" s="193">
        <f t="shared" si="44"/>
        <v>1.0507166145491278</v>
      </c>
      <c r="J158" s="194">
        <f t="shared" si="47"/>
        <v>144.99889280777964</v>
      </c>
      <c r="K158" s="201">
        <f t="shared" si="41"/>
        <v>458.15999999999997</v>
      </c>
      <c r="L158" s="200">
        <f t="shared" si="52"/>
        <v>-313.16110719222036</v>
      </c>
      <c r="M158" s="197">
        <f t="shared" si="48"/>
        <v>-10.496046028159329</v>
      </c>
      <c r="N158" s="198">
        <f t="shared" si="49"/>
        <v>-323.65715322037971</v>
      </c>
      <c r="O158" s="197">
        <v>0</v>
      </c>
      <c r="P158" s="197">
        <v>0</v>
      </c>
      <c r="Q158" s="197">
        <v>0</v>
      </c>
      <c r="R158" s="198">
        <f t="shared" si="50"/>
        <v>-323.65715322037971</v>
      </c>
    </row>
    <row r="159" spans="1:19" x14ac:dyDescent="0.25">
      <c r="A159" s="150">
        <v>8</v>
      </c>
      <c r="B159" s="189">
        <f t="shared" si="45"/>
        <v>44044</v>
      </c>
      <c r="C159" s="213">
        <f t="shared" si="51"/>
        <v>44077</v>
      </c>
      <c r="D159" s="213">
        <f t="shared" si="51"/>
        <v>44098</v>
      </c>
      <c r="E159" s="221" t="s">
        <v>56</v>
      </c>
      <c r="F159" s="113">
        <v>9</v>
      </c>
      <c r="G159" s="192">
        <v>152</v>
      </c>
      <c r="H159" s="193">
        <f t="shared" si="46"/>
        <v>3.32</v>
      </c>
      <c r="I159" s="193">
        <f t="shared" si="44"/>
        <v>1.0507166145491278</v>
      </c>
      <c r="J159" s="194">
        <f t="shared" si="47"/>
        <v>159.70892541146742</v>
      </c>
      <c r="K159" s="201">
        <f t="shared" si="41"/>
        <v>504.64</v>
      </c>
      <c r="L159" s="200">
        <f t="shared" si="52"/>
        <v>-344.93107458853257</v>
      </c>
      <c r="M159" s="197">
        <f t="shared" si="48"/>
        <v>-11.560862291885639</v>
      </c>
      <c r="N159" s="198">
        <f t="shared" si="49"/>
        <v>-356.49193688041822</v>
      </c>
      <c r="O159" s="197">
        <v>0</v>
      </c>
      <c r="P159" s="197">
        <v>0</v>
      </c>
      <c r="Q159" s="197">
        <v>0</v>
      </c>
      <c r="R159" s="198">
        <f t="shared" si="50"/>
        <v>-356.49193688041822</v>
      </c>
      <c r="S159" s="52"/>
    </row>
    <row r="160" spans="1:19" x14ac:dyDescent="0.25">
      <c r="A160" s="150">
        <v>9</v>
      </c>
      <c r="B160" s="189">
        <f t="shared" si="45"/>
        <v>44075</v>
      </c>
      <c r="C160" s="213">
        <f t="shared" si="51"/>
        <v>44109</v>
      </c>
      <c r="D160" s="213">
        <f t="shared" si="51"/>
        <v>44130</v>
      </c>
      <c r="E160" s="221" t="s">
        <v>56</v>
      </c>
      <c r="F160" s="113">
        <v>9</v>
      </c>
      <c r="G160" s="192">
        <v>136</v>
      </c>
      <c r="H160" s="193">
        <f t="shared" si="46"/>
        <v>3.32</v>
      </c>
      <c r="I160" s="193">
        <f t="shared" si="44"/>
        <v>1.0507166145491278</v>
      </c>
      <c r="J160" s="194">
        <f t="shared" si="47"/>
        <v>142.89745957868138</v>
      </c>
      <c r="K160" s="201">
        <f t="shared" si="41"/>
        <v>451.52</v>
      </c>
      <c r="L160" s="200">
        <f t="shared" si="52"/>
        <v>-308.6225404213186</v>
      </c>
      <c r="M160" s="197">
        <f t="shared" si="48"/>
        <v>-10.343929419055572</v>
      </c>
      <c r="N160" s="198">
        <f t="shared" si="49"/>
        <v>-318.9664698403742</v>
      </c>
      <c r="O160" s="197">
        <v>0</v>
      </c>
      <c r="P160" s="197">
        <v>0</v>
      </c>
      <c r="Q160" s="197">
        <v>0</v>
      </c>
      <c r="R160" s="198">
        <f t="shared" si="50"/>
        <v>-318.9664698403742</v>
      </c>
    </row>
    <row r="161" spans="1:19" x14ac:dyDescent="0.25">
      <c r="A161" s="113">
        <v>10</v>
      </c>
      <c r="B161" s="189">
        <f t="shared" si="45"/>
        <v>44105</v>
      </c>
      <c r="C161" s="213">
        <f t="shared" si="51"/>
        <v>44139</v>
      </c>
      <c r="D161" s="213">
        <f t="shared" si="51"/>
        <v>44159</v>
      </c>
      <c r="E161" s="221" t="s">
        <v>56</v>
      </c>
      <c r="F161" s="113">
        <v>9</v>
      </c>
      <c r="G161" s="192">
        <v>107</v>
      </c>
      <c r="H161" s="193">
        <f t="shared" si="46"/>
        <v>3.32</v>
      </c>
      <c r="I161" s="193">
        <f t="shared" si="44"/>
        <v>1.0507166145491278</v>
      </c>
      <c r="J161" s="194">
        <f t="shared" si="47"/>
        <v>112.42667775675667</v>
      </c>
      <c r="K161" s="201">
        <f t="shared" si="41"/>
        <v>355.24</v>
      </c>
      <c r="L161" s="200">
        <f t="shared" si="52"/>
        <v>-242.81332224324333</v>
      </c>
      <c r="M161" s="197">
        <f t="shared" si="48"/>
        <v>-8.1382385870510756</v>
      </c>
      <c r="N161" s="198">
        <f t="shared" si="49"/>
        <v>-250.9515608302944</v>
      </c>
      <c r="O161" s="197">
        <v>0</v>
      </c>
      <c r="P161" s="197">
        <v>0</v>
      </c>
      <c r="Q161" s="197">
        <v>0</v>
      </c>
      <c r="R161" s="198">
        <f t="shared" si="50"/>
        <v>-250.9515608302944</v>
      </c>
    </row>
    <row r="162" spans="1:19" x14ac:dyDescent="0.25">
      <c r="A162" s="150">
        <v>11</v>
      </c>
      <c r="B162" s="189">
        <f t="shared" si="45"/>
        <v>44136</v>
      </c>
      <c r="C162" s="213">
        <f t="shared" si="51"/>
        <v>44168</v>
      </c>
      <c r="D162" s="213">
        <f t="shared" si="51"/>
        <v>44189</v>
      </c>
      <c r="E162" s="221" t="s">
        <v>56</v>
      </c>
      <c r="F162" s="113">
        <v>9</v>
      </c>
      <c r="G162" s="192">
        <v>95</v>
      </c>
      <c r="H162" s="193">
        <f t="shared" si="46"/>
        <v>3.32</v>
      </c>
      <c r="I162" s="193">
        <f t="shared" si="44"/>
        <v>1.0507166145491278</v>
      </c>
      <c r="J162" s="194">
        <f t="shared" si="47"/>
        <v>99.818078382167144</v>
      </c>
      <c r="K162" s="201">
        <f t="shared" si="41"/>
        <v>315.39999999999998</v>
      </c>
      <c r="L162" s="200">
        <f t="shared" si="52"/>
        <v>-215.58192161783285</v>
      </c>
      <c r="M162" s="197">
        <f t="shared" si="48"/>
        <v>-7.225538932428524</v>
      </c>
      <c r="N162" s="198">
        <f t="shared" si="49"/>
        <v>-222.80746055026137</v>
      </c>
      <c r="O162" s="197">
        <v>0</v>
      </c>
      <c r="P162" s="197">
        <v>0</v>
      </c>
      <c r="Q162" s="197">
        <v>0</v>
      </c>
      <c r="R162" s="198">
        <f t="shared" si="50"/>
        <v>-222.80746055026137</v>
      </c>
    </row>
    <row r="163" spans="1:19" s="217" customFormat="1" x14ac:dyDescent="0.25">
      <c r="A163" s="150">
        <v>12</v>
      </c>
      <c r="B163" s="215">
        <f t="shared" si="45"/>
        <v>44166</v>
      </c>
      <c r="C163" s="213">
        <f t="shared" si="51"/>
        <v>44202</v>
      </c>
      <c r="D163" s="213">
        <f t="shared" si="51"/>
        <v>44221</v>
      </c>
      <c r="E163" s="222" t="s">
        <v>56</v>
      </c>
      <c r="F163" s="161">
        <v>9</v>
      </c>
      <c r="G163" s="204">
        <v>99</v>
      </c>
      <c r="H163" s="205">
        <f t="shared" si="46"/>
        <v>3.32</v>
      </c>
      <c r="I163" s="205">
        <f t="shared" si="44"/>
        <v>1.0507166145491278</v>
      </c>
      <c r="J163" s="206">
        <f t="shared" si="47"/>
        <v>104.02094484036365</v>
      </c>
      <c r="K163" s="207">
        <f t="shared" si="41"/>
        <v>328.68</v>
      </c>
      <c r="L163" s="208">
        <f t="shared" si="52"/>
        <v>-224.65905515963635</v>
      </c>
      <c r="M163" s="197">
        <f t="shared" si="48"/>
        <v>-7.5297721506360409</v>
      </c>
      <c r="N163" s="198">
        <f t="shared" si="49"/>
        <v>-232.18882731027239</v>
      </c>
      <c r="O163" s="197">
        <v>0</v>
      </c>
      <c r="P163" s="197">
        <v>0</v>
      </c>
      <c r="Q163" s="197">
        <v>0</v>
      </c>
      <c r="R163" s="198">
        <f t="shared" si="50"/>
        <v>-232.18882731027239</v>
      </c>
    </row>
    <row r="164" spans="1:19" x14ac:dyDescent="0.25">
      <c r="A164" s="113">
        <v>1</v>
      </c>
      <c r="B164" s="189">
        <f t="shared" si="45"/>
        <v>43831</v>
      </c>
      <c r="C164" s="210">
        <f t="shared" si="51"/>
        <v>43866</v>
      </c>
      <c r="D164" s="210">
        <f t="shared" si="51"/>
        <v>43885</v>
      </c>
      <c r="E164" s="220" t="s">
        <v>57</v>
      </c>
      <c r="F164" s="113">
        <v>9</v>
      </c>
      <c r="G164" s="192">
        <v>11</v>
      </c>
      <c r="H164" s="193">
        <f t="shared" si="46"/>
        <v>3.32</v>
      </c>
      <c r="I164" s="193">
        <f t="shared" si="44"/>
        <v>1.0507166145491278</v>
      </c>
      <c r="J164" s="194">
        <f t="shared" si="47"/>
        <v>11.557882760040405</v>
      </c>
      <c r="K164" s="195">
        <f t="shared" si="41"/>
        <v>36.519999999999996</v>
      </c>
      <c r="L164" s="196">
        <f t="shared" si="52"/>
        <v>-24.962117239959589</v>
      </c>
      <c r="M164" s="197">
        <f t="shared" si="48"/>
        <v>-0.83664135007067131</v>
      </c>
      <c r="N164" s="198">
        <f t="shared" si="49"/>
        <v>-25.798758590030261</v>
      </c>
      <c r="O164" s="197">
        <v>0</v>
      </c>
      <c r="P164" s="197">
        <v>0</v>
      </c>
      <c r="Q164" s="197">
        <v>0</v>
      </c>
      <c r="R164" s="198">
        <f t="shared" si="50"/>
        <v>-25.798758590030261</v>
      </c>
    </row>
    <row r="165" spans="1:19" x14ac:dyDescent="0.25">
      <c r="A165" s="150">
        <v>2</v>
      </c>
      <c r="B165" s="189">
        <f t="shared" si="45"/>
        <v>43862</v>
      </c>
      <c r="C165" s="213">
        <f t="shared" si="51"/>
        <v>43894</v>
      </c>
      <c r="D165" s="213">
        <f t="shared" si="51"/>
        <v>43914</v>
      </c>
      <c r="E165" s="221" t="s">
        <v>57</v>
      </c>
      <c r="F165" s="150">
        <v>9</v>
      </c>
      <c r="G165" s="192">
        <v>10</v>
      </c>
      <c r="H165" s="193">
        <f t="shared" si="46"/>
        <v>3.32</v>
      </c>
      <c r="I165" s="193">
        <f t="shared" si="44"/>
        <v>1.0507166145491278</v>
      </c>
      <c r="J165" s="194">
        <f t="shared" si="47"/>
        <v>10.507166145491277</v>
      </c>
      <c r="K165" s="195">
        <f t="shared" si="41"/>
        <v>33.199999999999996</v>
      </c>
      <c r="L165" s="196">
        <f t="shared" si="52"/>
        <v>-22.69283385450872</v>
      </c>
      <c r="M165" s="197">
        <f t="shared" si="48"/>
        <v>-0.76058304551879208</v>
      </c>
      <c r="N165" s="198">
        <f t="shared" si="49"/>
        <v>-23.453416900027513</v>
      </c>
      <c r="O165" s="197">
        <v>0</v>
      </c>
      <c r="P165" s="197">
        <v>0</v>
      </c>
      <c r="Q165" s="197">
        <v>0</v>
      </c>
      <c r="R165" s="198">
        <f t="shared" si="50"/>
        <v>-23.453416900027513</v>
      </c>
    </row>
    <row r="166" spans="1:19" x14ac:dyDescent="0.25">
      <c r="A166" s="150">
        <v>3</v>
      </c>
      <c r="B166" s="189">
        <f t="shared" si="45"/>
        <v>43891</v>
      </c>
      <c r="C166" s="213">
        <f t="shared" si="51"/>
        <v>43924</v>
      </c>
      <c r="D166" s="213">
        <f t="shared" si="51"/>
        <v>43945</v>
      </c>
      <c r="E166" s="221" t="s">
        <v>57</v>
      </c>
      <c r="F166" s="150">
        <v>9</v>
      </c>
      <c r="G166" s="192">
        <v>10</v>
      </c>
      <c r="H166" s="193">
        <f t="shared" si="46"/>
        <v>3.32</v>
      </c>
      <c r="I166" s="193">
        <f t="shared" si="44"/>
        <v>1.0507166145491278</v>
      </c>
      <c r="J166" s="194">
        <f t="shared" si="47"/>
        <v>10.507166145491277</v>
      </c>
      <c r="K166" s="195">
        <f t="shared" si="41"/>
        <v>33.199999999999996</v>
      </c>
      <c r="L166" s="196">
        <f>+J166-K166</f>
        <v>-22.69283385450872</v>
      </c>
      <c r="M166" s="197">
        <f t="shared" si="48"/>
        <v>-0.76058304551879208</v>
      </c>
      <c r="N166" s="198">
        <f t="shared" si="49"/>
        <v>-23.453416900027513</v>
      </c>
      <c r="O166" s="197">
        <v>0</v>
      </c>
      <c r="P166" s="197">
        <v>0</v>
      </c>
      <c r="Q166" s="197">
        <v>0</v>
      </c>
      <c r="R166" s="198">
        <f t="shared" si="50"/>
        <v>-23.453416900027513</v>
      </c>
    </row>
    <row r="167" spans="1:19" x14ac:dyDescent="0.25">
      <c r="A167" s="113">
        <v>4</v>
      </c>
      <c r="B167" s="189">
        <f t="shared" si="45"/>
        <v>43922</v>
      </c>
      <c r="C167" s="213">
        <f t="shared" si="51"/>
        <v>43956</v>
      </c>
      <c r="D167" s="213">
        <f t="shared" si="51"/>
        <v>43976</v>
      </c>
      <c r="E167" s="221" t="s">
        <v>57</v>
      </c>
      <c r="F167" s="150">
        <v>9</v>
      </c>
      <c r="G167" s="192">
        <v>7</v>
      </c>
      <c r="H167" s="193">
        <f t="shared" si="46"/>
        <v>3.32</v>
      </c>
      <c r="I167" s="193">
        <f t="shared" si="44"/>
        <v>1.0507166145491278</v>
      </c>
      <c r="J167" s="194">
        <f t="shared" si="47"/>
        <v>7.3550163018438948</v>
      </c>
      <c r="K167" s="195">
        <f t="shared" si="41"/>
        <v>23.24</v>
      </c>
      <c r="L167" s="196">
        <f t="shared" ref="L167:L177" si="53">+J167-K167</f>
        <v>-15.884983698156104</v>
      </c>
      <c r="M167" s="197">
        <f t="shared" si="48"/>
        <v>-0.53240813186315439</v>
      </c>
      <c r="N167" s="198">
        <f t="shared" si="49"/>
        <v>-16.417391830019259</v>
      </c>
      <c r="O167" s="197">
        <v>0</v>
      </c>
      <c r="P167" s="197">
        <v>0</v>
      </c>
      <c r="Q167" s="197">
        <v>0</v>
      </c>
      <c r="R167" s="198">
        <f t="shared" si="50"/>
        <v>-16.417391830019259</v>
      </c>
    </row>
    <row r="168" spans="1:19" x14ac:dyDescent="0.25">
      <c r="A168" s="150">
        <v>5</v>
      </c>
      <c r="B168" s="189">
        <f t="shared" si="45"/>
        <v>43952</v>
      </c>
      <c r="C168" s="213">
        <f t="shared" si="51"/>
        <v>43985</v>
      </c>
      <c r="D168" s="213">
        <f t="shared" si="51"/>
        <v>44006</v>
      </c>
      <c r="E168" s="221" t="s">
        <v>57</v>
      </c>
      <c r="F168" s="150">
        <v>9</v>
      </c>
      <c r="G168" s="192">
        <v>13</v>
      </c>
      <c r="H168" s="193">
        <f t="shared" si="46"/>
        <v>3.32</v>
      </c>
      <c r="I168" s="193">
        <f t="shared" si="44"/>
        <v>1.0507166145491278</v>
      </c>
      <c r="J168" s="194">
        <f t="shared" si="47"/>
        <v>13.659315989138662</v>
      </c>
      <c r="K168" s="195">
        <f t="shared" si="41"/>
        <v>43.16</v>
      </c>
      <c r="L168" s="196">
        <f t="shared" si="53"/>
        <v>-29.500684010861335</v>
      </c>
      <c r="M168" s="197">
        <f t="shared" si="48"/>
        <v>-0.98875795917442966</v>
      </c>
      <c r="N168" s="198">
        <f t="shared" si="49"/>
        <v>-30.489441970035763</v>
      </c>
      <c r="O168" s="197">
        <v>0</v>
      </c>
      <c r="P168" s="197">
        <v>0</v>
      </c>
      <c r="Q168" s="197">
        <v>0</v>
      </c>
      <c r="R168" s="198">
        <f t="shared" si="50"/>
        <v>-30.489441970035763</v>
      </c>
    </row>
    <row r="169" spans="1:19" x14ac:dyDescent="0.25">
      <c r="A169" s="150">
        <v>6</v>
      </c>
      <c r="B169" s="189">
        <f t="shared" si="45"/>
        <v>43983</v>
      </c>
      <c r="C169" s="213">
        <f t="shared" si="51"/>
        <v>44015</v>
      </c>
      <c r="D169" s="213">
        <f t="shared" si="51"/>
        <v>44036</v>
      </c>
      <c r="E169" s="221" t="s">
        <v>57</v>
      </c>
      <c r="F169" s="150">
        <v>9</v>
      </c>
      <c r="G169" s="192">
        <v>12</v>
      </c>
      <c r="H169" s="193">
        <f t="shared" si="46"/>
        <v>3.32</v>
      </c>
      <c r="I169" s="193">
        <f t="shared" si="44"/>
        <v>1.0507166145491278</v>
      </c>
      <c r="J169" s="194">
        <f t="shared" si="47"/>
        <v>12.608599374589534</v>
      </c>
      <c r="K169" s="195">
        <f t="shared" si="41"/>
        <v>39.839999999999996</v>
      </c>
      <c r="L169" s="200">
        <f t="shared" si="53"/>
        <v>-27.231400625410462</v>
      </c>
      <c r="M169" s="197">
        <f t="shared" si="48"/>
        <v>-0.91269965462255043</v>
      </c>
      <c r="N169" s="198">
        <f t="shared" si="49"/>
        <v>-28.144100280033012</v>
      </c>
      <c r="O169" s="197">
        <v>0</v>
      </c>
      <c r="P169" s="197">
        <v>0</v>
      </c>
      <c r="Q169" s="197">
        <v>0</v>
      </c>
      <c r="R169" s="198">
        <f t="shared" si="50"/>
        <v>-28.144100280033012</v>
      </c>
    </row>
    <row r="170" spans="1:19" x14ac:dyDescent="0.25">
      <c r="A170" s="113">
        <v>7</v>
      </c>
      <c r="B170" s="189">
        <f t="shared" si="45"/>
        <v>44013</v>
      </c>
      <c r="C170" s="213">
        <f t="shared" si="51"/>
        <v>44048</v>
      </c>
      <c r="D170" s="213">
        <f t="shared" si="51"/>
        <v>44067</v>
      </c>
      <c r="E170" s="221" t="s">
        <v>57</v>
      </c>
      <c r="F170" s="150">
        <v>9</v>
      </c>
      <c r="G170" s="192">
        <v>15</v>
      </c>
      <c r="H170" s="193">
        <f t="shared" si="46"/>
        <v>3.32</v>
      </c>
      <c r="I170" s="193">
        <f t="shared" si="44"/>
        <v>1.0507166145491278</v>
      </c>
      <c r="J170" s="194">
        <f t="shared" si="47"/>
        <v>15.760749218236917</v>
      </c>
      <c r="K170" s="201">
        <f t="shared" si="41"/>
        <v>49.8</v>
      </c>
      <c r="L170" s="200">
        <f t="shared" si="53"/>
        <v>-34.03925078176308</v>
      </c>
      <c r="M170" s="197">
        <f t="shared" si="48"/>
        <v>-1.1408745682781882</v>
      </c>
      <c r="N170" s="198">
        <f t="shared" si="49"/>
        <v>-35.180125350041266</v>
      </c>
      <c r="O170" s="197">
        <v>0</v>
      </c>
      <c r="P170" s="197">
        <v>0</v>
      </c>
      <c r="Q170" s="197">
        <v>0</v>
      </c>
      <c r="R170" s="198">
        <f t="shared" si="50"/>
        <v>-35.180125350041266</v>
      </c>
    </row>
    <row r="171" spans="1:19" x14ac:dyDescent="0.25">
      <c r="A171" s="150">
        <v>8</v>
      </c>
      <c r="B171" s="189">
        <f t="shared" si="45"/>
        <v>44044</v>
      </c>
      <c r="C171" s="213">
        <f t="shared" si="51"/>
        <v>44077</v>
      </c>
      <c r="D171" s="213">
        <f t="shared" si="51"/>
        <v>44098</v>
      </c>
      <c r="E171" s="221" t="s">
        <v>57</v>
      </c>
      <c r="F171" s="113">
        <v>9</v>
      </c>
      <c r="G171" s="192">
        <v>12</v>
      </c>
      <c r="H171" s="193">
        <f t="shared" si="46"/>
        <v>3.32</v>
      </c>
      <c r="I171" s="193">
        <f t="shared" si="44"/>
        <v>1.0507166145491278</v>
      </c>
      <c r="J171" s="194">
        <f t="shared" si="47"/>
        <v>12.608599374589534</v>
      </c>
      <c r="K171" s="201">
        <f t="shared" si="41"/>
        <v>39.839999999999996</v>
      </c>
      <c r="L171" s="200">
        <f t="shared" si="53"/>
        <v>-27.231400625410462</v>
      </c>
      <c r="M171" s="197">
        <f t="shared" si="48"/>
        <v>-0.91269965462255043</v>
      </c>
      <c r="N171" s="198">
        <f t="shared" si="49"/>
        <v>-28.144100280033012</v>
      </c>
      <c r="O171" s="197">
        <v>0</v>
      </c>
      <c r="P171" s="197">
        <v>0</v>
      </c>
      <c r="Q171" s="197">
        <v>0</v>
      </c>
      <c r="R171" s="198">
        <f t="shared" si="50"/>
        <v>-28.144100280033012</v>
      </c>
      <c r="S171" s="52"/>
    </row>
    <row r="172" spans="1:19" x14ac:dyDescent="0.25">
      <c r="A172" s="150">
        <v>9</v>
      </c>
      <c r="B172" s="189">
        <f t="shared" si="45"/>
        <v>44075</v>
      </c>
      <c r="C172" s="213">
        <f t="shared" ref="C172:D175" si="54">+C160</f>
        <v>44109</v>
      </c>
      <c r="D172" s="213">
        <f t="shared" si="54"/>
        <v>44130</v>
      </c>
      <c r="E172" s="221" t="s">
        <v>57</v>
      </c>
      <c r="F172" s="113">
        <v>9</v>
      </c>
      <c r="G172" s="192">
        <v>14</v>
      </c>
      <c r="H172" s="193">
        <f t="shared" si="46"/>
        <v>3.32</v>
      </c>
      <c r="I172" s="193">
        <f t="shared" si="44"/>
        <v>1.0507166145491278</v>
      </c>
      <c r="J172" s="194">
        <f t="shared" si="47"/>
        <v>14.71003260368779</v>
      </c>
      <c r="K172" s="201">
        <f t="shared" si="41"/>
        <v>46.48</v>
      </c>
      <c r="L172" s="200">
        <f t="shared" si="53"/>
        <v>-31.769967396312207</v>
      </c>
      <c r="M172" s="197">
        <f t="shared" si="48"/>
        <v>-1.0648162637263088</v>
      </c>
      <c r="N172" s="198">
        <f t="shared" si="49"/>
        <v>-32.834783660038518</v>
      </c>
      <c r="O172" s="197">
        <v>0</v>
      </c>
      <c r="P172" s="197">
        <v>0</v>
      </c>
      <c r="Q172" s="197">
        <v>0</v>
      </c>
      <c r="R172" s="198">
        <f t="shared" si="50"/>
        <v>-32.834783660038518</v>
      </c>
    </row>
    <row r="173" spans="1:19" x14ac:dyDescent="0.25">
      <c r="A173" s="113">
        <v>10</v>
      </c>
      <c r="B173" s="189">
        <f t="shared" si="45"/>
        <v>44105</v>
      </c>
      <c r="C173" s="213">
        <f t="shared" si="54"/>
        <v>44139</v>
      </c>
      <c r="D173" s="213">
        <f t="shared" si="54"/>
        <v>44159</v>
      </c>
      <c r="E173" s="221" t="s">
        <v>57</v>
      </c>
      <c r="F173" s="113">
        <v>9</v>
      </c>
      <c r="G173" s="192">
        <v>11</v>
      </c>
      <c r="H173" s="193">
        <f t="shared" si="46"/>
        <v>3.32</v>
      </c>
      <c r="I173" s="193">
        <f t="shared" si="44"/>
        <v>1.0507166145491278</v>
      </c>
      <c r="J173" s="194">
        <f t="shared" si="47"/>
        <v>11.557882760040405</v>
      </c>
      <c r="K173" s="201">
        <f t="shared" si="41"/>
        <v>36.519999999999996</v>
      </c>
      <c r="L173" s="200">
        <f t="shared" si="53"/>
        <v>-24.962117239959589</v>
      </c>
      <c r="M173" s="197">
        <f t="shared" si="48"/>
        <v>-0.83664135007067131</v>
      </c>
      <c r="N173" s="198">
        <f t="shared" si="49"/>
        <v>-25.798758590030261</v>
      </c>
      <c r="O173" s="197">
        <v>0</v>
      </c>
      <c r="P173" s="197">
        <v>0</v>
      </c>
      <c r="Q173" s="197">
        <v>0</v>
      </c>
      <c r="R173" s="198">
        <f t="shared" si="50"/>
        <v>-25.798758590030261</v>
      </c>
    </row>
    <row r="174" spans="1:19" x14ac:dyDescent="0.25">
      <c r="A174" s="150">
        <v>11</v>
      </c>
      <c r="B174" s="189">
        <f t="shared" si="45"/>
        <v>44136</v>
      </c>
      <c r="C174" s="213">
        <f t="shared" si="54"/>
        <v>44168</v>
      </c>
      <c r="D174" s="213">
        <f t="shared" si="54"/>
        <v>44189</v>
      </c>
      <c r="E174" s="221" t="s">
        <v>57</v>
      </c>
      <c r="F174" s="113">
        <v>9</v>
      </c>
      <c r="G174" s="192">
        <v>9</v>
      </c>
      <c r="H174" s="193">
        <f t="shared" si="46"/>
        <v>3.32</v>
      </c>
      <c r="I174" s="193">
        <f t="shared" si="44"/>
        <v>1.0507166145491278</v>
      </c>
      <c r="J174" s="194">
        <f t="shared" si="47"/>
        <v>9.4564495309421499</v>
      </c>
      <c r="K174" s="201">
        <f t="shared" si="41"/>
        <v>29.88</v>
      </c>
      <c r="L174" s="200">
        <f t="shared" si="53"/>
        <v>-20.423550469057851</v>
      </c>
      <c r="M174" s="197">
        <f t="shared" si="48"/>
        <v>-0.68452474096691285</v>
      </c>
      <c r="N174" s="198">
        <f t="shared" si="49"/>
        <v>-21.108075210024765</v>
      </c>
      <c r="O174" s="197">
        <v>0</v>
      </c>
      <c r="P174" s="197">
        <v>0</v>
      </c>
      <c r="Q174" s="197">
        <v>0</v>
      </c>
      <c r="R174" s="198">
        <f t="shared" si="50"/>
        <v>-21.108075210024765</v>
      </c>
    </row>
    <row r="175" spans="1:19" s="217" customFormat="1" x14ac:dyDescent="0.25">
      <c r="A175" s="150">
        <v>12</v>
      </c>
      <c r="B175" s="215">
        <f t="shared" si="45"/>
        <v>44166</v>
      </c>
      <c r="C175" s="213">
        <f t="shared" si="54"/>
        <v>44202</v>
      </c>
      <c r="D175" s="213">
        <f t="shared" si="54"/>
        <v>44221</v>
      </c>
      <c r="E175" s="222" t="s">
        <v>57</v>
      </c>
      <c r="F175" s="161">
        <v>9</v>
      </c>
      <c r="G175" s="204">
        <v>8</v>
      </c>
      <c r="H175" s="205">
        <f t="shared" si="46"/>
        <v>3.32</v>
      </c>
      <c r="I175" s="205">
        <f t="shared" si="44"/>
        <v>1.0507166145491278</v>
      </c>
      <c r="J175" s="206">
        <f t="shared" si="47"/>
        <v>8.4057329163930223</v>
      </c>
      <c r="K175" s="207">
        <f t="shared" si="41"/>
        <v>26.56</v>
      </c>
      <c r="L175" s="208">
        <f t="shared" si="53"/>
        <v>-18.154267083606975</v>
      </c>
      <c r="M175" s="197">
        <f t="shared" si="48"/>
        <v>-0.60846643641503362</v>
      </c>
      <c r="N175" s="198">
        <f t="shared" si="49"/>
        <v>-18.762733520022007</v>
      </c>
      <c r="O175" s="197">
        <v>0</v>
      </c>
      <c r="P175" s="197">
        <v>0</v>
      </c>
      <c r="Q175" s="197">
        <v>0</v>
      </c>
      <c r="R175" s="198">
        <f t="shared" si="50"/>
        <v>-18.762733520022007</v>
      </c>
    </row>
    <row r="176" spans="1:19" x14ac:dyDescent="0.25">
      <c r="A176" s="113">
        <v>1</v>
      </c>
      <c r="B176" s="189">
        <f t="shared" si="45"/>
        <v>43831</v>
      </c>
      <c r="C176" s="210">
        <f t="shared" ref="C176:D187" si="55">+C152</f>
        <v>43866</v>
      </c>
      <c r="D176" s="210">
        <f t="shared" si="55"/>
        <v>43885</v>
      </c>
      <c r="E176" s="220" t="s">
        <v>58</v>
      </c>
      <c r="F176" s="150">
        <v>9</v>
      </c>
      <c r="G176" s="192">
        <v>20</v>
      </c>
      <c r="H176" s="193">
        <f t="shared" si="46"/>
        <v>3.32</v>
      </c>
      <c r="I176" s="193">
        <f t="shared" si="44"/>
        <v>1.0507166145491278</v>
      </c>
      <c r="J176" s="194">
        <f t="shared" si="47"/>
        <v>21.014332290982555</v>
      </c>
      <c r="K176" s="195">
        <f t="shared" si="41"/>
        <v>66.399999999999991</v>
      </c>
      <c r="L176" s="196">
        <f t="shared" si="53"/>
        <v>-45.38566770901744</v>
      </c>
      <c r="M176" s="197">
        <f t="shared" si="48"/>
        <v>-1.5211660910375842</v>
      </c>
      <c r="N176" s="198">
        <f t="shared" si="49"/>
        <v>-46.906833800055026</v>
      </c>
      <c r="O176" s="197">
        <v>0</v>
      </c>
      <c r="P176" s="197">
        <v>0</v>
      </c>
      <c r="Q176" s="197">
        <v>0</v>
      </c>
      <c r="R176" s="198">
        <f t="shared" si="50"/>
        <v>-46.906833800055026</v>
      </c>
    </row>
    <row r="177" spans="1:18" x14ac:dyDescent="0.25">
      <c r="A177" s="150">
        <v>2</v>
      </c>
      <c r="B177" s="189">
        <f t="shared" si="45"/>
        <v>43862</v>
      </c>
      <c r="C177" s="213">
        <f t="shared" si="55"/>
        <v>43894</v>
      </c>
      <c r="D177" s="213">
        <f t="shared" si="55"/>
        <v>43914</v>
      </c>
      <c r="E177" s="54" t="s">
        <v>58</v>
      </c>
      <c r="F177" s="150">
        <v>9</v>
      </c>
      <c r="G177" s="192">
        <v>19</v>
      </c>
      <c r="H177" s="193">
        <f t="shared" si="46"/>
        <v>3.32</v>
      </c>
      <c r="I177" s="193">
        <f t="shared" si="44"/>
        <v>1.0507166145491278</v>
      </c>
      <c r="J177" s="194">
        <f t="shared" si="47"/>
        <v>19.963615676433427</v>
      </c>
      <c r="K177" s="195">
        <f t="shared" si="41"/>
        <v>63.08</v>
      </c>
      <c r="L177" s="196">
        <f t="shared" si="53"/>
        <v>-43.116384323566571</v>
      </c>
      <c r="M177" s="197">
        <f t="shared" si="48"/>
        <v>-1.4451077864857049</v>
      </c>
      <c r="N177" s="198">
        <f t="shared" si="49"/>
        <v>-44.561492110052278</v>
      </c>
      <c r="O177" s="197">
        <v>0</v>
      </c>
      <c r="P177" s="197">
        <v>0</v>
      </c>
      <c r="Q177" s="197">
        <v>0</v>
      </c>
      <c r="R177" s="198">
        <f t="shared" si="50"/>
        <v>-44.561492110052278</v>
      </c>
    </row>
    <row r="178" spans="1:18" x14ac:dyDescent="0.25">
      <c r="A178" s="150">
        <v>3</v>
      </c>
      <c r="B178" s="189">
        <f t="shared" si="45"/>
        <v>43891</v>
      </c>
      <c r="C178" s="213">
        <f t="shared" si="55"/>
        <v>43924</v>
      </c>
      <c r="D178" s="213">
        <f t="shared" si="55"/>
        <v>43945</v>
      </c>
      <c r="E178" s="54" t="s">
        <v>58</v>
      </c>
      <c r="F178" s="150">
        <v>9</v>
      </c>
      <c r="G178" s="192">
        <v>19</v>
      </c>
      <c r="H178" s="193">
        <f t="shared" si="46"/>
        <v>3.32</v>
      </c>
      <c r="I178" s="193">
        <f t="shared" si="44"/>
        <v>1.0507166145491278</v>
      </c>
      <c r="J178" s="194">
        <f t="shared" si="47"/>
        <v>19.963615676433427</v>
      </c>
      <c r="K178" s="195">
        <f t="shared" si="41"/>
        <v>63.08</v>
      </c>
      <c r="L178" s="196">
        <f>+J178-K178</f>
        <v>-43.116384323566571</v>
      </c>
      <c r="M178" s="197">
        <f t="shared" si="48"/>
        <v>-1.4451077864857049</v>
      </c>
      <c r="N178" s="198">
        <f t="shared" si="49"/>
        <v>-44.561492110052278</v>
      </c>
      <c r="O178" s="197">
        <v>0</v>
      </c>
      <c r="P178" s="197">
        <v>0</v>
      </c>
      <c r="Q178" s="197">
        <v>0</v>
      </c>
      <c r="R178" s="198">
        <f t="shared" si="50"/>
        <v>-44.561492110052278</v>
      </c>
    </row>
    <row r="179" spans="1:18" x14ac:dyDescent="0.25">
      <c r="A179" s="113">
        <v>4</v>
      </c>
      <c r="B179" s="189">
        <f t="shared" si="45"/>
        <v>43922</v>
      </c>
      <c r="C179" s="213">
        <f t="shared" si="55"/>
        <v>43956</v>
      </c>
      <c r="D179" s="213">
        <f t="shared" si="55"/>
        <v>43976</v>
      </c>
      <c r="E179" s="54" t="s">
        <v>58</v>
      </c>
      <c r="F179" s="150">
        <v>9</v>
      </c>
      <c r="G179" s="192">
        <v>21</v>
      </c>
      <c r="H179" s="193">
        <f t="shared" si="46"/>
        <v>3.32</v>
      </c>
      <c r="I179" s="193">
        <f t="shared" si="44"/>
        <v>1.0507166145491278</v>
      </c>
      <c r="J179" s="194">
        <f t="shared" si="47"/>
        <v>22.065048905531683</v>
      </c>
      <c r="K179" s="195">
        <f t="shared" si="41"/>
        <v>69.72</v>
      </c>
      <c r="L179" s="196">
        <f t="shared" ref="L179:L189" si="56">+J179-K179</f>
        <v>-47.654951094468316</v>
      </c>
      <c r="M179" s="197">
        <f t="shared" si="48"/>
        <v>-1.5972243955894632</v>
      </c>
      <c r="N179" s="198">
        <f t="shared" si="49"/>
        <v>-49.25217549005778</v>
      </c>
      <c r="O179" s="197">
        <v>0</v>
      </c>
      <c r="P179" s="197">
        <v>0</v>
      </c>
      <c r="Q179" s="197">
        <v>0</v>
      </c>
      <c r="R179" s="198">
        <f t="shared" si="50"/>
        <v>-49.25217549005778</v>
      </c>
    </row>
    <row r="180" spans="1:18" x14ac:dyDescent="0.25">
      <c r="A180" s="150">
        <v>5</v>
      </c>
      <c r="B180" s="189">
        <f t="shared" si="45"/>
        <v>43952</v>
      </c>
      <c r="C180" s="213">
        <f t="shared" si="55"/>
        <v>43985</v>
      </c>
      <c r="D180" s="213">
        <f t="shared" si="55"/>
        <v>44006</v>
      </c>
      <c r="E180" s="54" t="s">
        <v>58</v>
      </c>
      <c r="F180" s="150">
        <v>9</v>
      </c>
      <c r="G180" s="192">
        <v>23</v>
      </c>
      <c r="H180" s="193">
        <f t="shared" si="46"/>
        <v>3.32</v>
      </c>
      <c r="I180" s="193">
        <f t="shared" ref="I180:I211" si="57">$J$3</f>
        <v>1.0507166145491278</v>
      </c>
      <c r="J180" s="194">
        <f t="shared" si="47"/>
        <v>24.166482134629938</v>
      </c>
      <c r="K180" s="195">
        <f t="shared" si="41"/>
        <v>76.36</v>
      </c>
      <c r="L180" s="196">
        <f t="shared" si="56"/>
        <v>-52.193517865370062</v>
      </c>
      <c r="M180" s="197">
        <f t="shared" si="48"/>
        <v>-1.7493410046932216</v>
      </c>
      <c r="N180" s="198">
        <f t="shared" si="49"/>
        <v>-53.942858870063283</v>
      </c>
      <c r="O180" s="197">
        <v>0</v>
      </c>
      <c r="P180" s="197">
        <v>0</v>
      </c>
      <c r="Q180" s="197">
        <v>0</v>
      </c>
      <c r="R180" s="198">
        <f t="shared" si="50"/>
        <v>-53.942858870063283</v>
      </c>
    </row>
    <row r="181" spans="1:18" x14ac:dyDescent="0.25">
      <c r="A181" s="150">
        <v>6</v>
      </c>
      <c r="B181" s="189">
        <f t="shared" si="45"/>
        <v>43983</v>
      </c>
      <c r="C181" s="213">
        <f t="shared" si="55"/>
        <v>44015</v>
      </c>
      <c r="D181" s="213">
        <f t="shared" si="55"/>
        <v>44036</v>
      </c>
      <c r="E181" s="54" t="s">
        <v>58</v>
      </c>
      <c r="F181" s="150">
        <v>9</v>
      </c>
      <c r="G181" s="192">
        <v>29</v>
      </c>
      <c r="H181" s="193">
        <f t="shared" si="46"/>
        <v>3.32</v>
      </c>
      <c r="I181" s="193">
        <f t="shared" si="57"/>
        <v>1.0507166145491278</v>
      </c>
      <c r="J181" s="194">
        <f t="shared" si="47"/>
        <v>30.470781821924707</v>
      </c>
      <c r="K181" s="195">
        <f t="shared" si="41"/>
        <v>96.28</v>
      </c>
      <c r="L181" s="200">
        <f t="shared" si="56"/>
        <v>-65.809218178075298</v>
      </c>
      <c r="M181" s="197">
        <f t="shared" si="48"/>
        <v>-2.205690832004497</v>
      </c>
      <c r="N181" s="198">
        <f t="shared" si="49"/>
        <v>-68.014909010079791</v>
      </c>
      <c r="O181" s="197">
        <v>0</v>
      </c>
      <c r="P181" s="197">
        <v>0</v>
      </c>
      <c r="Q181" s="197">
        <v>0</v>
      </c>
      <c r="R181" s="198">
        <f t="shared" si="50"/>
        <v>-68.014909010079791</v>
      </c>
    </row>
    <row r="182" spans="1:18" x14ac:dyDescent="0.25">
      <c r="A182" s="113">
        <v>7</v>
      </c>
      <c r="B182" s="189">
        <f t="shared" si="45"/>
        <v>44013</v>
      </c>
      <c r="C182" s="213">
        <f t="shared" si="55"/>
        <v>44048</v>
      </c>
      <c r="D182" s="213">
        <f t="shared" si="55"/>
        <v>44067</v>
      </c>
      <c r="E182" s="54" t="s">
        <v>58</v>
      </c>
      <c r="F182" s="150">
        <v>9</v>
      </c>
      <c r="G182" s="192">
        <v>33</v>
      </c>
      <c r="H182" s="193">
        <f t="shared" si="46"/>
        <v>3.32</v>
      </c>
      <c r="I182" s="193">
        <f t="shared" si="57"/>
        <v>1.0507166145491278</v>
      </c>
      <c r="J182" s="194">
        <f t="shared" si="47"/>
        <v>34.67364828012122</v>
      </c>
      <c r="K182" s="201">
        <f t="shared" si="41"/>
        <v>109.55999999999999</v>
      </c>
      <c r="L182" s="200">
        <f t="shared" si="56"/>
        <v>-74.886351719878775</v>
      </c>
      <c r="M182" s="197">
        <f t="shared" si="48"/>
        <v>-2.5099240502120139</v>
      </c>
      <c r="N182" s="198">
        <f t="shared" si="49"/>
        <v>-77.396275770090796</v>
      </c>
      <c r="O182" s="197">
        <v>0</v>
      </c>
      <c r="P182" s="197">
        <v>0</v>
      </c>
      <c r="Q182" s="197">
        <v>0</v>
      </c>
      <c r="R182" s="198">
        <f t="shared" si="50"/>
        <v>-77.396275770090796</v>
      </c>
    </row>
    <row r="183" spans="1:18" x14ac:dyDescent="0.25">
      <c r="A183" s="150">
        <v>8</v>
      </c>
      <c r="B183" s="189">
        <f t="shared" si="45"/>
        <v>44044</v>
      </c>
      <c r="C183" s="213">
        <f t="shared" si="55"/>
        <v>44077</v>
      </c>
      <c r="D183" s="213">
        <f t="shared" si="55"/>
        <v>44098</v>
      </c>
      <c r="E183" s="54" t="s">
        <v>58</v>
      </c>
      <c r="F183" s="150">
        <v>9</v>
      </c>
      <c r="G183" s="192">
        <v>34</v>
      </c>
      <c r="H183" s="193">
        <f t="shared" si="46"/>
        <v>3.32</v>
      </c>
      <c r="I183" s="193">
        <f t="shared" si="57"/>
        <v>1.0507166145491278</v>
      </c>
      <c r="J183" s="194">
        <f t="shared" si="47"/>
        <v>35.724364894670344</v>
      </c>
      <c r="K183" s="201">
        <f t="shared" si="41"/>
        <v>112.88</v>
      </c>
      <c r="L183" s="200">
        <f t="shared" si="56"/>
        <v>-77.155635105329651</v>
      </c>
      <c r="M183" s="197">
        <f t="shared" si="48"/>
        <v>-2.5859823547638929</v>
      </c>
      <c r="N183" s="198">
        <f t="shared" si="49"/>
        <v>-79.741617460093551</v>
      </c>
      <c r="O183" s="197">
        <v>0</v>
      </c>
      <c r="P183" s="197">
        <v>0</v>
      </c>
      <c r="Q183" s="197">
        <v>0</v>
      </c>
      <c r="R183" s="198">
        <f t="shared" si="50"/>
        <v>-79.741617460093551</v>
      </c>
    </row>
    <row r="184" spans="1:18" x14ac:dyDescent="0.25">
      <c r="A184" s="150">
        <v>9</v>
      </c>
      <c r="B184" s="189">
        <f t="shared" si="45"/>
        <v>44075</v>
      </c>
      <c r="C184" s="213">
        <f t="shared" si="55"/>
        <v>44109</v>
      </c>
      <c r="D184" s="213">
        <f t="shared" si="55"/>
        <v>44130</v>
      </c>
      <c r="E184" s="54" t="s">
        <v>58</v>
      </c>
      <c r="F184" s="150">
        <v>9</v>
      </c>
      <c r="G184" s="192">
        <v>30</v>
      </c>
      <c r="H184" s="193">
        <f t="shared" si="46"/>
        <v>3.32</v>
      </c>
      <c r="I184" s="193">
        <f t="shared" si="57"/>
        <v>1.0507166145491278</v>
      </c>
      <c r="J184" s="194">
        <f t="shared" si="47"/>
        <v>31.521498436473834</v>
      </c>
      <c r="K184" s="201">
        <f t="shared" si="41"/>
        <v>99.6</v>
      </c>
      <c r="L184" s="200">
        <f t="shared" si="56"/>
        <v>-68.07850156352616</v>
      </c>
      <c r="M184" s="197">
        <f t="shared" si="48"/>
        <v>-2.2817491365563765</v>
      </c>
      <c r="N184" s="198">
        <f t="shared" si="49"/>
        <v>-70.360250700082531</v>
      </c>
      <c r="O184" s="197">
        <v>0</v>
      </c>
      <c r="P184" s="197">
        <v>0</v>
      </c>
      <c r="Q184" s="197">
        <v>0</v>
      </c>
      <c r="R184" s="198">
        <f t="shared" si="50"/>
        <v>-70.360250700082531</v>
      </c>
    </row>
    <row r="185" spans="1:18" x14ac:dyDescent="0.25">
      <c r="A185" s="113">
        <v>10</v>
      </c>
      <c r="B185" s="189">
        <f t="shared" si="45"/>
        <v>44105</v>
      </c>
      <c r="C185" s="213">
        <f t="shared" si="55"/>
        <v>44139</v>
      </c>
      <c r="D185" s="213">
        <f t="shared" si="55"/>
        <v>44159</v>
      </c>
      <c r="E185" s="54" t="s">
        <v>58</v>
      </c>
      <c r="F185" s="150">
        <v>9</v>
      </c>
      <c r="G185" s="192">
        <v>21</v>
      </c>
      <c r="H185" s="193">
        <f t="shared" si="46"/>
        <v>3.32</v>
      </c>
      <c r="I185" s="193">
        <f t="shared" si="57"/>
        <v>1.0507166145491278</v>
      </c>
      <c r="J185" s="194">
        <f t="shared" si="47"/>
        <v>22.065048905531683</v>
      </c>
      <c r="K185" s="201">
        <f t="shared" si="41"/>
        <v>69.72</v>
      </c>
      <c r="L185" s="200">
        <f t="shared" si="56"/>
        <v>-47.654951094468316</v>
      </c>
      <c r="M185" s="197">
        <f t="shared" si="48"/>
        <v>-1.5972243955894632</v>
      </c>
      <c r="N185" s="198">
        <f t="shared" si="49"/>
        <v>-49.25217549005778</v>
      </c>
      <c r="O185" s="197">
        <v>0</v>
      </c>
      <c r="P185" s="197">
        <v>0</v>
      </c>
      <c r="Q185" s="197">
        <v>0</v>
      </c>
      <c r="R185" s="198">
        <f t="shared" si="50"/>
        <v>-49.25217549005778</v>
      </c>
    </row>
    <row r="186" spans="1:18" x14ac:dyDescent="0.25">
      <c r="A186" s="150">
        <v>11</v>
      </c>
      <c r="B186" s="189">
        <f t="shared" si="45"/>
        <v>44136</v>
      </c>
      <c r="C186" s="213">
        <f t="shared" si="55"/>
        <v>44168</v>
      </c>
      <c r="D186" s="213">
        <f t="shared" si="55"/>
        <v>44189</v>
      </c>
      <c r="E186" s="54" t="s">
        <v>58</v>
      </c>
      <c r="F186" s="150">
        <v>9</v>
      </c>
      <c r="G186" s="192">
        <v>16</v>
      </c>
      <c r="H186" s="193">
        <f t="shared" si="46"/>
        <v>3.32</v>
      </c>
      <c r="I186" s="193">
        <f t="shared" si="57"/>
        <v>1.0507166145491278</v>
      </c>
      <c r="J186" s="194">
        <f t="shared" si="47"/>
        <v>16.811465832786045</v>
      </c>
      <c r="K186" s="201">
        <f t="shared" si="41"/>
        <v>53.12</v>
      </c>
      <c r="L186" s="200">
        <f t="shared" si="56"/>
        <v>-36.308534167213949</v>
      </c>
      <c r="M186" s="197">
        <f t="shared" si="48"/>
        <v>-1.2169328728300672</v>
      </c>
      <c r="N186" s="198">
        <f t="shared" si="49"/>
        <v>-37.525467040044013</v>
      </c>
      <c r="O186" s="197">
        <v>0</v>
      </c>
      <c r="P186" s="197">
        <v>0</v>
      </c>
      <c r="Q186" s="197">
        <v>0</v>
      </c>
      <c r="R186" s="198">
        <f t="shared" si="50"/>
        <v>-37.525467040044013</v>
      </c>
    </row>
    <row r="187" spans="1:18" s="217" customFormat="1" x14ac:dyDescent="0.25">
      <c r="A187" s="150">
        <v>12</v>
      </c>
      <c r="B187" s="215">
        <f t="shared" si="45"/>
        <v>44166</v>
      </c>
      <c r="C187" s="213">
        <f t="shared" si="55"/>
        <v>44202</v>
      </c>
      <c r="D187" s="213">
        <f t="shared" si="55"/>
        <v>44221</v>
      </c>
      <c r="E187" s="216" t="s">
        <v>58</v>
      </c>
      <c r="F187" s="161">
        <v>9</v>
      </c>
      <c r="G187" s="204">
        <v>19</v>
      </c>
      <c r="H187" s="205">
        <f t="shared" si="46"/>
        <v>3.32</v>
      </c>
      <c r="I187" s="205">
        <f t="shared" si="57"/>
        <v>1.0507166145491278</v>
      </c>
      <c r="J187" s="206">
        <f t="shared" si="47"/>
        <v>19.963615676433427</v>
      </c>
      <c r="K187" s="207">
        <f t="shared" si="41"/>
        <v>63.08</v>
      </c>
      <c r="L187" s="208">
        <f t="shared" si="56"/>
        <v>-43.116384323566571</v>
      </c>
      <c r="M187" s="197">
        <f t="shared" si="48"/>
        <v>-1.4451077864857049</v>
      </c>
      <c r="N187" s="198">
        <f t="shared" si="49"/>
        <v>-44.561492110052278</v>
      </c>
      <c r="O187" s="197">
        <v>0</v>
      </c>
      <c r="P187" s="197">
        <v>0</v>
      </c>
      <c r="Q187" s="197">
        <v>0</v>
      </c>
      <c r="R187" s="198">
        <f t="shared" si="50"/>
        <v>-44.561492110052278</v>
      </c>
    </row>
    <row r="188" spans="1:18" x14ac:dyDescent="0.25">
      <c r="A188" s="113">
        <v>1</v>
      </c>
      <c r="B188" s="189">
        <f t="shared" si="45"/>
        <v>43831</v>
      </c>
      <c r="C188" s="210">
        <f t="shared" ref="C188:D211" si="58">+C176</f>
        <v>43866</v>
      </c>
      <c r="D188" s="210">
        <f t="shared" si="58"/>
        <v>43885</v>
      </c>
      <c r="E188" s="191" t="s">
        <v>59</v>
      </c>
      <c r="F188" s="113">
        <v>9</v>
      </c>
      <c r="G188" s="192">
        <v>35</v>
      </c>
      <c r="H188" s="193">
        <f t="shared" si="46"/>
        <v>3.32</v>
      </c>
      <c r="I188" s="193">
        <f t="shared" si="57"/>
        <v>1.0507166145491278</v>
      </c>
      <c r="J188" s="194">
        <f t="shared" si="47"/>
        <v>36.775081509219476</v>
      </c>
      <c r="K188" s="195">
        <f t="shared" si="41"/>
        <v>116.19999999999999</v>
      </c>
      <c r="L188" s="196">
        <f t="shared" si="56"/>
        <v>-79.424918490780513</v>
      </c>
      <c r="M188" s="197">
        <f t="shared" si="48"/>
        <v>-2.6620406593157719</v>
      </c>
      <c r="N188" s="198">
        <f t="shared" si="49"/>
        <v>-82.086959150096291</v>
      </c>
      <c r="O188" s="197">
        <v>0</v>
      </c>
      <c r="P188" s="197">
        <v>0</v>
      </c>
      <c r="Q188" s="197">
        <v>0</v>
      </c>
      <c r="R188" s="198">
        <f t="shared" si="50"/>
        <v>-82.086959150096291</v>
      </c>
    </row>
    <row r="189" spans="1:18" x14ac:dyDescent="0.25">
      <c r="A189" s="150">
        <v>2</v>
      </c>
      <c r="B189" s="189">
        <f t="shared" si="45"/>
        <v>43862</v>
      </c>
      <c r="C189" s="213">
        <f t="shared" si="58"/>
        <v>43894</v>
      </c>
      <c r="D189" s="213">
        <f t="shared" si="58"/>
        <v>43914</v>
      </c>
      <c r="E189" s="199" t="s">
        <v>59</v>
      </c>
      <c r="F189" s="150">
        <v>9</v>
      </c>
      <c r="G189" s="192">
        <v>34</v>
      </c>
      <c r="H189" s="193">
        <f t="shared" si="46"/>
        <v>3.32</v>
      </c>
      <c r="I189" s="193">
        <f t="shared" si="57"/>
        <v>1.0507166145491278</v>
      </c>
      <c r="J189" s="194">
        <f t="shared" si="47"/>
        <v>35.724364894670344</v>
      </c>
      <c r="K189" s="195">
        <f t="shared" si="41"/>
        <v>112.88</v>
      </c>
      <c r="L189" s="196">
        <f t="shared" si="56"/>
        <v>-77.155635105329651</v>
      </c>
      <c r="M189" s="197">
        <f t="shared" si="48"/>
        <v>-2.5859823547638929</v>
      </c>
      <c r="N189" s="198">
        <f t="shared" si="49"/>
        <v>-79.741617460093551</v>
      </c>
      <c r="O189" s="197">
        <v>0</v>
      </c>
      <c r="P189" s="197">
        <v>0</v>
      </c>
      <c r="Q189" s="197">
        <v>0</v>
      </c>
      <c r="R189" s="198">
        <f t="shared" si="50"/>
        <v>-79.741617460093551</v>
      </c>
    </row>
    <row r="190" spans="1:18" x14ac:dyDescent="0.25">
      <c r="A190" s="150">
        <v>3</v>
      </c>
      <c r="B190" s="189">
        <f t="shared" si="45"/>
        <v>43891</v>
      </c>
      <c r="C190" s="213">
        <f t="shared" si="58"/>
        <v>43924</v>
      </c>
      <c r="D190" s="213">
        <f t="shared" si="58"/>
        <v>43945</v>
      </c>
      <c r="E190" s="199" t="s">
        <v>59</v>
      </c>
      <c r="F190" s="150">
        <v>9</v>
      </c>
      <c r="G190" s="192">
        <v>30</v>
      </c>
      <c r="H190" s="193">
        <f t="shared" si="46"/>
        <v>3.32</v>
      </c>
      <c r="I190" s="193">
        <f t="shared" si="57"/>
        <v>1.0507166145491278</v>
      </c>
      <c r="J190" s="194">
        <f t="shared" si="47"/>
        <v>31.521498436473834</v>
      </c>
      <c r="K190" s="195">
        <f t="shared" si="41"/>
        <v>99.6</v>
      </c>
      <c r="L190" s="196">
        <f>+J190-K190</f>
        <v>-68.07850156352616</v>
      </c>
      <c r="M190" s="197">
        <f t="shared" si="48"/>
        <v>-2.2817491365563765</v>
      </c>
      <c r="N190" s="198">
        <f t="shared" si="49"/>
        <v>-70.360250700082531</v>
      </c>
      <c r="O190" s="197">
        <v>0</v>
      </c>
      <c r="P190" s="197">
        <v>0</v>
      </c>
      <c r="Q190" s="197">
        <v>0</v>
      </c>
      <c r="R190" s="198">
        <f t="shared" si="50"/>
        <v>-70.360250700082531</v>
      </c>
    </row>
    <row r="191" spans="1:18" x14ac:dyDescent="0.25">
      <c r="A191" s="113">
        <v>4</v>
      </c>
      <c r="B191" s="189">
        <f t="shared" si="45"/>
        <v>43922</v>
      </c>
      <c r="C191" s="213">
        <f t="shared" si="58"/>
        <v>43956</v>
      </c>
      <c r="D191" s="213">
        <f t="shared" si="58"/>
        <v>43976</v>
      </c>
      <c r="E191" s="54" t="s">
        <v>59</v>
      </c>
      <c r="F191" s="150">
        <v>9</v>
      </c>
      <c r="G191" s="192">
        <v>32</v>
      </c>
      <c r="H191" s="193">
        <f t="shared" si="46"/>
        <v>3.32</v>
      </c>
      <c r="I191" s="193">
        <f t="shared" si="57"/>
        <v>1.0507166145491278</v>
      </c>
      <c r="J191" s="194">
        <f t="shared" si="47"/>
        <v>33.622931665572089</v>
      </c>
      <c r="K191" s="195">
        <f t="shared" si="41"/>
        <v>106.24</v>
      </c>
      <c r="L191" s="196">
        <f t="shared" ref="L191:L201" si="59">+J191-K191</f>
        <v>-72.617068334427898</v>
      </c>
      <c r="M191" s="197">
        <f t="shared" si="48"/>
        <v>-2.4338657456601345</v>
      </c>
      <c r="N191" s="198">
        <f t="shared" si="49"/>
        <v>-75.050934080088027</v>
      </c>
      <c r="O191" s="197">
        <v>0</v>
      </c>
      <c r="P191" s="197">
        <v>0</v>
      </c>
      <c r="Q191" s="197">
        <v>0</v>
      </c>
      <c r="R191" s="198">
        <f t="shared" si="50"/>
        <v>-75.050934080088027</v>
      </c>
    </row>
    <row r="192" spans="1:18" x14ac:dyDescent="0.25">
      <c r="A192" s="150">
        <v>5</v>
      </c>
      <c r="B192" s="189">
        <f t="shared" si="45"/>
        <v>43952</v>
      </c>
      <c r="C192" s="213">
        <f t="shared" si="58"/>
        <v>43985</v>
      </c>
      <c r="D192" s="213">
        <f t="shared" si="58"/>
        <v>44006</v>
      </c>
      <c r="E192" s="54" t="s">
        <v>59</v>
      </c>
      <c r="F192" s="150">
        <v>9</v>
      </c>
      <c r="G192" s="192">
        <v>36</v>
      </c>
      <c r="H192" s="193">
        <f t="shared" si="46"/>
        <v>3.32</v>
      </c>
      <c r="I192" s="193">
        <f t="shared" si="57"/>
        <v>1.0507166145491278</v>
      </c>
      <c r="J192" s="194">
        <f t="shared" si="47"/>
        <v>37.8257981237686</v>
      </c>
      <c r="K192" s="195">
        <f t="shared" si="41"/>
        <v>119.52</v>
      </c>
      <c r="L192" s="196">
        <f t="shared" si="59"/>
        <v>-81.694201876231404</v>
      </c>
      <c r="M192" s="197">
        <f t="shared" si="48"/>
        <v>-2.7380989638676514</v>
      </c>
      <c r="N192" s="198">
        <f t="shared" si="49"/>
        <v>-84.43230084009906</v>
      </c>
      <c r="O192" s="197">
        <v>0</v>
      </c>
      <c r="P192" s="197">
        <v>0</v>
      </c>
      <c r="Q192" s="197">
        <v>0</v>
      </c>
      <c r="R192" s="198">
        <f t="shared" si="50"/>
        <v>-84.43230084009906</v>
      </c>
    </row>
    <row r="193" spans="1:18" x14ac:dyDescent="0.25">
      <c r="A193" s="150">
        <v>6</v>
      </c>
      <c r="B193" s="189">
        <f t="shared" si="45"/>
        <v>43983</v>
      </c>
      <c r="C193" s="213">
        <f t="shared" si="58"/>
        <v>44015</v>
      </c>
      <c r="D193" s="213">
        <f t="shared" si="58"/>
        <v>44036</v>
      </c>
      <c r="E193" s="54" t="s">
        <v>59</v>
      </c>
      <c r="F193" s="150">
        <v>9</v>
      </c>
      <c r="G193" s="192">
        <v>42</v>
      </c>
      <c r="H193" s="193">
        <f t="shared" si="46"/>
        <v>3.32</v>
      </c>
      <c r="I193" s="193">
        <f t="shared" si="57"/>
        <v>1.0507166145491278</v>
      </c>
      <c r="J193" s="194">
        <f t="shared" si="47"/>
        <v>44.130097811063365</v>
      </c>
      <c r="K193" s="195">
        <f t="shared" si="41"/>
        <v>139.44</v>
      </c>
      <c r="L193" s="200">
        <f t="shared" si="59"/>
        <v>-95.309902188936633</v>
      </c>
      <c r="M193" s="197">
        <f t="shared" si="48"/>
        <v>-3.1944487911789263</v>
      </c>
      <c r="N193" s="198">
        <f t="shared" si="49"/>
        <v>-98.504350980115561</v>
      </c>
      <c r="O193" s="197">
        <v>0</v>
      </c>
      <c r="P193" s="197">
        <v>0</v>
      </c>
      <c r="Q193" s="197">
        <v>0</v>
      </c>
      <c r="R193" s="198">
        <f t="shared" si="50"/>
        <v>-98.504350980115561</v>
      </c>
    </row>
    <row r="194" spans="1:18" x14ac:dyDescent="0.25">
      <c r="A194" s="113">
        <v>7</v>
      </c>
      <c r="B194" s="189">
        <f t="shared" si="45"/>
        <v>44013</v>
      </c>
      <c r="C194" s="213">
        <f t="shared" si="58"/>
        <v>44048</v>
      </c>
      <c r="D194" s="213">
        <f t="shared" si="58"/>
        <v>44067</v>
      </c>
      <c r="E194" s="54" t="s">
        <v>59</v>
      </c>
      <c r="F194" s="150">
        <v>9</v>
      </c>
      <c r="G194" s="192">
        <v>47</v>
      </c>
      <c r="H194" s="193">
        <f t="shared" si="46"/>
        <v>3.32</v>
      </c>
      <c r="I194" s="193">
        <f t="shared" si="57"/>
        <v>1.0507166145491278</v>
      </c>
      <c r="J194" s="194">
        <f t="shared" si="47"/>
        <v>49.383680883809006</v>
      </c>
      <c r="K194" s="201">
        <f t="shared" si="41"/>
        <v>156.04</v>
      </c>
      <c r="L194" s="200">
        <f t="shared" si="59"/>
        <v>-106.65631911619099</v>
      </c>
      <c r="M194" s="197">
        <f t="shared" si="48"/>
        <v>-3.5747403139383231</v>
      </c>
      <c r="N194" s="198">
        <f t="shared" si="49"/>
        <v>-110.23105943012931</v>
      </c>
      <c r="O194" s="197">
        <v>0</v>
      </c>
      <c r="P194" s="197">
        <v>0</v>
      </c>
      <c r="Q194" s="197">
        <v>0</v>
      </c>
      <c r="R194" s="198">
        <f t="shared" si="50"/>
        <v>-110.23105943012931</v>
      </c>
    </row>
    <row r="195" spans="1:18" x14ac:dyDescent="0.25">
      <c r="A195" s="150">
        <v>8</v>
      </c>
      <c r="B195" s="189">
        <f t="shared" si="45"/>
        <v>44044</v>
      </c>
      <c r="C195" s="213">
        <f t="shared" si="58"/>
        <v>44077</v>
      </c>
      <c r="D195" s="213">
        <f t="shared" si="58"/>
        <v>44098</v>
      </c>
      <c r="E195" s="54" t="s">
        <v>59</v>
      </c>
      <c r="F195" s="150">
        <v>9</v>
      </c>
      <c r="G195" s="192">
        <v>48</v>
      </c>
      <c r="H195" s="193">
        <f t="shared" si="46"/>
        <v>3.32</v>
      </c>
      <c r="I195" s="193">
        <f t="shared" si="57"/>
        <v>1.0507166145491278</v>
      </c>
      <c r="J195" s="194">
        <f t="shared" si="47"/>
        <v>50.434397498358138</v>
      </c>
      <c r="K195" s="201">
        <f t="shared" si="41"/>
        <v>159.35999999999999</v>
      </c>
      <c r="L195" s="200">
        <f t="shared" si="59"/>
        <v>-108.92560250164185</v>
      </c>
      <c r="M195" s="197">
        <f t="shared" si="48"/>
        <v>-3.6507986184902017</v>
      </c>
      <c r="N195" s="198">
        <f t="shared" si="49"/>
        <v>-112.57640112013205</v>
      </c>
      <c r="O195" s="197">
        <v>0</v>
      </c>
      <c r="P195" s="197">
        <v>0</v>
      </c>
      <c r="Q195" s="197">
        <v>0</v>
      </c>
      <c r="R195" s="198">
        <f t="shared" si="50"/>
        <v>-112.57640112013205</v>
      </c>
    </row>
    <row r="196" spans="1:18" x14ac:dyDescent="0.25">
      <c r="A196" s="150">
        <v>9</v>
      </c>
      <c r="B196" s="189">
        <f t="shared" si="45"/>
        <v>44075</v>
      </c>
      <c r="C196" s="213">
        <f t="shared" si="58"/>
        <v>44109</v>
      </c>
      <c r="D196" s="213">
        <f t="shared" si="58"/>
        <v>44130</v>
      </c>
      <c r="E196" s="54" t="s">
        <v>59</v>
      </c>
      <c r="F196" s="150">
        <v>9</v>
      </c>
      <c r="G196" s="192">
        <v>44</v>
      </c>
      <c r="H196" s="193">
        <f t="shared" si="46"/>
        <v>3.32</v>
      </c>
      <c r="I196" s="193">
        <f t="shared" si="57"/>
        <v>1.0507166145491278</v>
      </c>
      <c r="J196" s="194">
        <f t="shared" si="47"/>
        <v>46.23153104016162</v>
      </c>
      <c r="K196" s="201">
        <f t="shared" si="41"/>
        <v>146.07999999999998</v>
      </c>
      <c r="L196" s="200">
        <f t="shared" si="59"/>
        <v>-99.848468959838357</v>
      </c>
      <c r="M196" s="197">
        <f t="shared" si="48"/>
        <v>-3.3465654002826852</v>
      </c>
      <c r="N196" s="198">
        <f t="shared" si="49"/>
        <v>-103.19503436012104</v>
      </c>
      <c r="O196" s="197">
        <v>0</v>
      </c>
      <c r="P196" s="197">
        <v>0</v>
      </c>
      <c r="Q196" s="197">
        <v>0</v>
      </c>
      <c r="R196" s="198">
        <f t="shared" si="50"/>
        <v>-103.19503436012104</v>
      </c>
    </row>
    <row r="197" spans="1:18" x14ac:dyDescent="0.25">
      <c r="A197" s="113">
        <v>10</v>
      </c>
      <c r="B197" s="189">
        <f t="shared" si="45"/>
        <v>44105</v>
      </c>
      <c r="C197" s="213">
        <f t="shared" si="58"/>
        <v>44139</v>
      </c>
      <c r="D197" s="213">
        <f t="shared" si="58"/>
        <v>44159</v>
      </c>
      <c r="E197" s="54" t="s">
        <v>59</v>
      </c>
      <c r="F197" s="150">
        <v>9</v>
      </c>
      <c r="G197" s="192">
        <v>30</v>
      </c>
      <c r="H197" s="193">
        <f t="shared" si="46"/>
        <v>3.32</v>
      </c>
      <c r="I197" s="193">
        <f t="shared" si="57"/>
        <v>1.0507166145491278</v>
      </c>
      <c r="J197" s="194">
        <f t="shared" si="47"/>
        <v>31.521498436473834</v>
      </c>
      <c r="K197" s="201">
        <f t="shared" si="41"/>
        <v>99.6</v>
      </c>
      <c r="L197" s="200">
        <f t="shared" si="59"/>
        <v>-68.07850156352616</v>
      </c>
      <c r="M197" s="197">
        <f t="shared" si="48"/>
        <v>-2.2817491365563765</v>
      </c>
      <c r="N197" s="198">
        <f t="shared" si="49"/>
        <v>-70.360250700082531</v>
      </c>
      <c r="O197" s="197">
        <v>0</v>
      </c>
      <c r="P197" s="197">
        <v>0</v>
      </c>
      <c r="Q197" s="197">
        <v>0</v>
      </c>
      <c r="R197" s="198">
        <f t="shared" si="50"/>
        <v>-70.360250700082531</v>
      </c>
    </row>
    <row r="198" spans="1:18" x14ac:dyDescent="0.25">
      <c r="A198" s="150">
        <v>11</v>
      </c>
      <c r="B198" s="189">
        <f t="shared" si="45"/>
        <v>44136</v>
      </c>
      <c r="C198" s="213">
        <f t="shared" si="58"/>
        <v>44168</v>
      </c>
      <c r="D198" s="213">
        <f t="shared" si="58"/>
        <v>44189</v>
      </c>
      <c r="E198" s="54" t="s">
        <v>59</v>
      </c>
      <c r="F198" s="150">
        <v>9</v>
      </c>
      <c r="G198" s="192">
        <v>31</v>
      </c>
      <c r="H198" s="193">
        <f t="shared" si="46"/>
        <v>3.32</v>
      </c>
      <c r="I198" s="193">
        <f t="shared" si="57"/>
        <v>1.0507166145491278</v>
      </c>
      <c r="J198" s="194">
        <f t="shared" si="47"/>
        <v>32.572215051022958</v>
      </c>
      <c r="K198" s="201">
        <f t="shared" ref="K198:K209" si="60">+$G198*H198</f>
        <v>102.92</v>
      </c>
      <c r="L198" s="200">
        <f t="shared" si="59"/>
        <v>-70.347784948977051</v>
      </c>
      <c r="M198" s="197">
        <f t="shared" si="48"/>
        <v>-2.357807441108255</v>
      </c>
      <c r="N198" s="198">
        <f t="shared" si="49"/>
        <v>-72.7055923900853</v>
      </c>
      <c r="O198" s="197">
        <v>0</v>
      </c>
      <c r="P198" s="197">
        <v>0</v>
      </c>
      <c r="Q198" s="197">
        <v>0</v>
      </c>
      <c r="R198" s="198">
        <f t="shared" si="50"/>
        <v>-72.7055923900853</v>
      </c>
    </row>
    <row r="199" spans="1:18" s="217" customFormat="1" x14ac:dyDescent="0.25">
      <c r="A199" s="150">
        <v>12</v>
      </c>
      <c r="B199" s="215">
        <f t="shared" si="45"/>
        <v>44166</v>
      </c>
      <c r="C199" s="213">
        <f t="shared" si="58"/>
        <v>44202</v>
      </c>
      <c r="D199" s="213">
        <f t="shared" si="58"/>
        <v>44221</v>
      </c>
      <c r="E199" s="216" t="s">
        <v>59</v>
      </c>
      <c r="F199" s="161">
        <v>9</v>
      </c>
      <c r="G199" s="204">
        <v>34</v>
      </c>
      <c r="H199" s="205">
        <f t="shared" si="46"/>
        <v>3.32</v>
      </c>
      <c r="I199" s="205">
        <f t="shared" si="57"/>
        <v>1.0507166145491278</v>
      </c>
      <c r="J199" s="206">
        <f t="shared" si="47"/>
        <v>35.724364894670344</v>
      </c>
      <c r="K199" s="207">
        <f t="shared" si="60"/>
        <v>112.88</v>
      </c>
      <c r="L199" s="208">
        <f t="shared" si="59"/>
        <v>-77.155635105329651</v>
      </c>
      <c r="M199" s="197">
        <f t="shared" si="48"/>
        <v>-2.5859823547638929</v>
      </c>
      <c r="N199" s="198">
        <f t="shared" si="49"/>
        <v>-79.741617460093551</v>
      </c>
      <c r="O199" s="197">
        <v>0</v>
      </c>
      <c r="P199" s="197">
        <v>0</v>
      </c>
      <c r="Q199" s="197">
        <v>0</v>
      </c>
      <c r="R199" s="198">
        <f t="shared" si="50"/>
        <v>-79.741617460093551</v>
      </c>
    </row>
    <row r="200" spans="1:18" x14ac:dyDescent="0.25">
      <c r="A200" s="113">
        <v>1</v>
      </c>
      <c r="B200" s="189">
        <f t="shared" si="45"/>
        <v>43831</v>
      </c>
      <c r="C200" s="210">
        <f t="shared" si="58"/>
        <v>43866</v>
      </c>
      <c r="D200" s="210">
        <f t="shared" si="58"/>
        <v>43885</v>
      </c>
      <c r="E200" s="191" t="s">
        <v>17</v>
      </c>
      <c r="F200" s="113">
        <v>9</v>
      </c>
      <c r="G200" s="192">
        <v>106</v>
      </c>
      <c r="H200" s="193">
        <f t="shared" si="46"/>
        <v>3.32</v>
      </c>
      <c r="I200" s="193">
        <f t="shared" si="57"/>
        <v>1.0507166145491278</v>
      </c>
      <c r="J200" s="194">
        <f t="shared" si="47"/>
        <v>111.37596114220754</v>
      </c>
      <c r="K200" s="195">
        <f t="shared" si="60"/>
        <v>351.91999999999996</v>
      </c>
      <c r="L200" s="196">
        <f t="shared" si="59"/>
        <v>-240.54403885779243</v>
      </c>
      <c r="M200" s="197">
        <f t="shared" si="48"/>
        <v>-8.062180282499197</v>
      </c>
      <c r="N200" s="198">
        <f t="shared" si="49"/>
        <v>-248.60621914029161</v>
      </c>
      <c r="O200" s="197">
        <v>0</v>
      </c>
      <c r="P200" s="197">
        <v>0</v>
      </c>
      <c r="Q200" s="197">
        <v>0</v>
      </c>
      <c r="R200" s="198">
        <f t="shared" si="50"/>
        <v>-248.60621914029161</v>
      </c>
    </row>
    <row r="201" spans="1:18" x14ac:dyDescent="0.25">
      <c r="A201" s="150">
        <v>2</v>
      </c>
      <c r="B201" s="189">
        <f t="shared" si="45"/>
        <v>43862</v>
      </c>
      <c r="C201" s="213">
        <f t="shared" si="58"/>
        <v>43894</v>
      </c>
      <c r="D201" s="213">
        <f t="shared" si="58"/>
        <v>43914</v>
      </c>
      <c r="E201" s="199" t="s">
        <v>17</v>
      </c>
      <c r="F201" s="150">
        <v>9</v>
      </c>
      <c r="G201" s="192">
        <v>103</v>
      </c>
      <c r="H201" s="193">
        <f t="shared" si="46"/>
        <v>3.32</v>
      </c>
      <c r="I201" s="193">
        <f t="shared" si="57"/>
        <v>1.0507166145491278</v>
      </c>
      <c r="J201" s="194">
        <f t="shared" si="47"/>
        <v>108.22381129856016</v>
      </c>
      <c r="K201" s="195">
        <f t="shared" si="60"/>
        <v>341.96</v>
      </c>
      <c r="L201" s="196">
        <f t="shared" si="59"/>
        <v>-233.7361887014398</v>
      </c>
      <c r="M201" s="197">
        <f t="shared" si="48"/>
        <v>-7.8340053688435587</v>
      </c>
      <c r="N201" s="198">
        <f t="shared" si="49"/>
        <v>-241.57019407028335</v>
      </c>
      <c r="O201" s="197">
        <v>0</v>
      </c>
      <c r="P201" s="197">
        <v>0</v>
      </c>
      <c r="Q201" s="197">
        <v>0</v>
      </c>
      <c r="R201" s="198">
        <f t="shared" si="50"/>
        <v>-241.57019407028335</v>
      </c>
    </row>
    <row r="202" spans="1:18" x14ac:dyDescent="0.25">
      <c r="A202" s="150">
        <v>3</v>
      </c>
      <c r="B202" s="189">
        <f t="shared" si="45"/>
        <v>43891</v>
      </c>
      <c r="C202" s="213">
        <f t="shared" si="58"/>
        <v>43924</v>
      </c>
      <c r="D202" s="213">
        <f t="shared" si="58"/>
        <v>43945</v>
      </c>
      <c r="E202" s="199" t="s">
        <v>17</v>
      </c>
      <c r="F202" s="150">
        <v>9</v>
      </c>
      <c r="G202" s="192">
        <v>26</v>
      </c>
      <c r="H202" s="193">
        <f t="shared" si="46"/>
        <v>3.32</v>
      </c>
      <c r="I202" s="193">
        <f t="shared" si="57"/>
        <v>1.0507166145491278</v>
      </c>
      <c r="J202" s="194">
        <f t="shared" si="47"/>
        <v>27.318631978277324</v>
      </c>
      <c r="K202" s="195">
        <f t="shared" si="60"/>
        <v>86.32</v>
      </c>
      <c r="L202" s="196">
        <f>+J202-K202</f>
        <v>-59.001368021722669</v>
      </c>
      <c r="M202" s="197">
        <f t="shared" si="48"/>
        <v>-1.9775159183488593</v>
      </c>
      <c r="N202" s="198">
        <f t="shared" si="49"/>
        <v>-60.978883940071526</v>
      </c>
      <c r="O202" s="197">
        <v>0</v>
      </c>
      <c r="P202" s="197">
        <v>0</v>
      </c>
      <c r="Q202" s="197">
        <v>0</v>
      </c>
      <c r="R202" s="198">
        <f t="shared" si="50"/>
        <v>-60.978883940071526</v>
      </c>
    </row>
    <row r="203" spans="1:18" x14ac:dyDescent="0.25">
      <c r="A203" s="113">
        <v>4</v>
      </c>
      <c r="B203" s="189">
        <f t="shared" si="45"/>
        <v>43922</v>
      </c>
      <c r="C203" s="213">
        <f t="shared" si="58"/>
        <v>43956</v>
      </c>
      <c r="D203" s="213">
        <f t="shared" si="58"/>
        <v>43976</v>
      </c>
      <c r="E203" s="199" t="s">
        <v>17</v>
      </c>
      <c r="F203" s="150">
        <v>9</v>
      </c>
      <c r="G203" s="192">
        <v>97</v>
      </c>
      <c r="H203" s="193">
        <f t="shared" si="46"/>
        <v>3.32</v>
      </c>
      <c r="I203" s="193">
        <f t="shared" si="57"/>
        <v>1.0507166145491278</v>
      </c>
      <c r="J203" s="194">
        <f t="shared" si="47"/>
        <v>101.91951161126539</v>
      </c>
      <c r="K203" s="195">
        <f t="shared" si="60"/>
        <v>322.03999999999996</v>
      </c>
      <c r="L203" s="196">
        <f t="shared" ref="L203:L211" si="61">+J203-K203</f>
        <v>-220.12048838873457</v>
      </c>
      <c r="M203" s="197">
        <f t="shared" si="48"/>
        <v>-7.3776555415322829</v>
      </c>
      <c r="N203" s="198">
        <f t="shared" si="49"/>
        <v>-227.49814393026685</v>
      </c>
      <c r="O203" s="197">
        <v>0</v>
      </c>
      <c r="P203" s="197">
        <v>0</v>
      </c>
      <c r="Q203" s="197">
        <v>0</v>
      </c>
      <c r="R203" s="198">
        <f t="shared" si="50"/>
        <v>-227.49814393026685</v>
      </c>
    </row>
    <row r="204" spans="1:18" x14ac:dyDescent="0.25">
      <c r="A204" s="150">
        <v>5</v>
      </c>
      <c r="B204" s="189">
        <f t="shared" si="45"/>
        <v>43952</v>
      </c>
      <c r="C204" s="213">
        <f t="shared" si="58"/>
        <v>43985</v>
      </c>
      <c r="D204" s="213">
        <f t="shared" si="58"/>
        <v>44006</v>
      </c>
      <c r="E204" s="54" t="s">
        <v>17</v>
      </c>
      <c r="F204" s="150">
        <v>9</v>
      </c>
      <c r="G204" s="192">
        <v>80</v>
      </c>
      <c r="H204" s="193">
        <f t="shared" si="46"/>
        <v>3.32</v>
      </c>
      <c r="I204" s="193">
        <f t="shared" si="57"/>
        <v>1.0507166145491278</v>
      </c>
      <c r="J204" s="194">
        <f t="shared" si="47"/>
        <v>84.05732916393022</v>
      </c>
      <c r="K204" s="195">
        <f t="shared" si="60"/>
        <v>265.59999999999997</v>
      </c>
      <c r="L204" s="196">
        <f t="shared" si="61"/>
        <v>-181.54267083606976</v>
      </c>
      <c r="M204" s="197">
        <f t="shared" si="48"/>
        <v>-6.0846643641503366</v>
      </c>
      <c r="N204" s="198">
        <f t="shared" si="49"/>
        <v>-187.6273352002201</v>
      </c>
      <c r="O204" s="197">
        <v>0</v>
      </c>
      <c r="P204" s="197">
        <v>0</v>
      </c>
      <c r="Q204" s="197">
        <v>0</v>
      </c>
      <c r="R204" s="198">
        <f t="shared" si="50"/>
        <v>-187.6273352002201</v>
      </c>
    </row>
    <row r="205" spans="1:18" x14ac:dyDescent="0.25">
      <c r="A205" s="150">
        <v>6</v>
      </c>
      <c r="B205" s="189">
        <f t="shared" si="45"/>
        <v>43983</v>
      </c>
      <c r="C205" s="213">
        <f t="shared" si="58"/>
        <v>44015</v>
      </c>
      <c r="D205" s="213">
        <f t="shared" si="58"/>
        <v>44036</v>
      </c>
      <c r="E205" s="54" t="s">
        <v>17</v>
      </c>
      <c r="F205" s="150">
        <v>9</v>
      </c>
      <c r="G205" s="192">
        <v>99</v>
      </c>
      <c r="H205" s="193">
        <f t="shared" si="46"/>
        <v>3.32</v>
      </c>
      <c r="I205" s="193">
        <f t="shared" si="57"/>
        <v>1.0507166145491278</v>
      </c>
      <c r="J205" s="194">
        <f t="shared" si="47"/>
        <v>104.02094484036365</v>
      </c>
      <c r="K205" s="195">
        <f t="shared" si="60"/>
        <v>328.68</v>
      </c>
      <c r="L205" s="200">
        <f t="shared" si="61"/>
        <v>-224.65905515963635</v>
      </c>
      <c r="M205" s="197">
        <f t="shared" si="48"/>
        <v>-7.5297721506360409</v>
      </c>
      <c r="N205" s="198">
        <f t="shared" si="49"/>
        <v>-232.18882731027239</v>
      </c>
      <c r="O205" s="197">
        <v>0</v>
      </c>
      <c r="P205" s="197">
        <v>0</v>
      </c>
      <c r="Q205" s="197">
        <v>0</v>
      </c>
      <c r="R205" s="198">
        <f t="shared" si="50"/>
        <v>-232.18882731027239</v>
      </c>
    </row>
    <row r="206" spans="1:18" x14ac:dyDescent="0.25">
      <c r="A206" s="113">
        <v>7</v>
      </c>
      <c r="B206" s="189">
        <f t="shared" si="45"/>
        <v>44013</v>
      </c>
      <c r="C206" s="213">
        <f t="shared" si="58"/>
        <v>44048</v>
      </c>
      <c r="D206" s="213">
        <f t="shared" si="58"/>
        <v>44067</v>
      </c>
      <c r="E206" s="54" t="s">
        <v>17</v>
      </c>
      <c r="F206" s="150">
        <v>9</v>
      </c>
      <c r="G206" s="192">
        <v>111</v>
      </c>
      <c r="H206" s="193">
        <f t="shared" si="46"/>
        <v>3.32</v>
      </c>
      <c r="I206" s="193">
        <f t="shared" si="57"/>
        <v>1.0507166145491278</v>
      </c>
      <c r="J206" s="194">
        <f t="shared" si="47"/>
        <v>116.62954421495319</v>
      </c>
      <c r="K206" s="201">
        <f t="shared" si="60"/>
        <v>368.52</v>
      </c>
      <c r="L206" s="200">
        <f t="shared" si="61"/>
        <v>-251.89045578504681</v>
      </c>
      <c r="M206" s="197">
        <f t="shared" si="48"/>
        <v>-8.4424718052585916</v>
      </c>
      <c r="N206" s="198">
        <f t="shared" si="49"/>
        <v>-260.33292759030542</v>
      </c>
      <c r="O206" s="197">
        <v>0</v>
      </c>
      <c r="P206" s="197">
        <v>0</v>
      </c>
      <c r="Q206" s="197">
        <v>0</v>
      </c>
      <c r="R206" s="198">
        <f t="shared" si="50"/>
        <v>-260.33292759030542</v>
      </c>
    </row>
    <row r="207" spans="1:18" x14ac:dyDescent="0.25">
      <c r="A207" s="150">
        <v>8</v>
      </c>
      <c r="B207" s="189">
        <f t="shared" si="45"/>
        <v>44044</v>
      </c>
      <c r="C207" s="213">
        <f t="shared" si="58"/>
        <v>44077</v>
      </c>
      <c r="D207" s="213">
        <f t="shared" si="58"/>
        <v>44098</v>
      </c>
      <c r="E207" s="54" t="s">
        <v>17</v>
      </c>
      <c r="F207" s="150">
        <v>9</v>
      </c>
      <c r="G207" s="192">
        <v>112</v>
      </c>
      <c r="H207" s="193">
        <f t="shared" si="46"/>
        <v>3.32</v>
      </c>
      <c r="I207" s="193">
        <f t="shared" si="57"/>
        <v>1.0507166145491278</v>
      </c>
      <c r="J207" s="194">
        <f t="shared" si="47"/>
        <v>117.68026082950232</v>
      </c>
      <c r="K207" s="201">
        <f t="shared" si="60"/>
        <v>371.84</v>
      </c>
      <c r="L207" s="200">
        <f t="shared" si="61"/>
        <v>-254.15973917049766</v>
      </c>
      <c r="M207" s="197">
        <f t="shared" si="48"/>
        <v>-8.5185301098104702</v>
      </c>
      <c r="N207" s="198">
        <f t="shared" si="49"/>
        <v>-262.67826928030814</v>
      </c>
      <c r="O207" s="197">
        <v>0</v>
      </c>
      <c r="P207" s="197">
        <v>0</v>
      </c>
      <c r="Q207" s="197">
        <v>0</v>
      </c>
      <c r="R207" s="198">
        <f t="shared" si="50"/>
        <v>-262.67826928030814</v>
      </c>
    </row>
    <row r="208" spans="1:18" x14ac:dyDescent="0.25">
      <c r="A208" s="150">
        <v>9</v>
      </c>
      <c r="B208" s="189">
        <f t="shared" si="45"/>
        <v>44075</v>
      </c>
      <c r="C208" s="213">
        <f t="shared" si="58"/>
        <v>44109</v>
      </c>
      <c r="D208" s="213">
        <f t="shared" si="58"/>
        <v>44130</v>
      </c>
      <c r="E208" s="54" t="s">
        <v>17</v>
      </c>
      <c r="F208" s="150">
        <v>9</v>
      </c>
      <c r="G208" s="192">
        <v>114</v>
      </c>
      <c r="H208" s="193">
        <f t="shared" si="46"/>
        <v>3.32</v>
      </c>
      <c r="I208" s="193">
        <f t="shared" si="57"/>
        <v>1.0507166145491278</v>
      </c>
      <c r="J208" s="194">
        <f t="shared" si="47"/>
        <v>119.78169405860056</v>
      </c>
      <c r="K208" s="201">
        <f t="shared" si="60"/>
        <v>378.47999999999996</v>
      </c>
      <c r="L208" s="200">
        <f t="shared" si="61"/>
        <v>-258.69830594139938</v>
      </c>
      <c r="M208" s="197">
        <f t="shared" si="48"/>
        <v>-8.6706467189142291</v>
      </c>
      <c r="N208" s="198">
        <f t="shared" si="49"/>
        <v>-267.3689526603136</v>
      </c>
      <c r="O208" s="197">
        <v>0</v>
      </c>
      <c r="P208" s="197">
        <v>0</v>
      </c>
      <c r="Q208" s="197">
        <v>0</v>
      </c>
      <c r="R208" s="198">
        <f t="shared" si="50"/>
        <v>-267.3689526603136</v>
      </c>
    </row>
    <row r="209" spans="1:18" x14ac:dyDescent="0.25">
      <c r="A209" s="113">
        <v>10</v>
      </c>
      <c r="B209" s="189">
        <f t="shared" si="45"/>
        <v>44105</v>
      </c>
      <c r="C209" s="213">
        <f t="shared" si="58"/>
        <v>44139</v>
      </c>
      <c r="D209" s="213">
        <f t="shared" si="58"/>
        <v>44159</v>
      </c>
      <c r="E209" s="54" t="s">
        <v>17</v>
      </c>
      <c r="F209" s="150">
        <v>9</v>
      </c>
      <c r="G209" s="192">
        <v>96</v>
      </c>
      <c r="H209" s="193">
        <f t="shared" si="46"/>
        <v>3.32</v>
      </c>
      <c r="I209" s="193">
        <f t="shared" si="57"/>
        <v>1.0507166145491278</v>
      </c>
      <c r="J209" s="194">
        <f t="shared" si="47"/>
        <v>100.86879499671628</v>
      </c>
      <c r="K209" s="201">
        <f t="shared" si="60"/>
        <v>318.71999999999997</v>
      </c>
      <c r="L209" s="200">
        <f t="shared" si="61"/>
        <v>-217.8512050032837</v>
      </c>
      <c r="M209" s="197">
        <f t="shared" si="48"/>
        <v>-7.3015972369804034</v>
      </c>
      <c r="N209" s="198">
        <f t="shared" si="49"/>
        <v>-225.15280224026409</v>
      </c>
      <c r="O209" s="197">
        <v>0</v>
      </c>
      <c r="P209" s="197">
        <v>0</v>
      </c>
      <c r="Q209" s="197">
        <v>0</v>
      </c>
      <c r="R209" s="198">
        <f t="shared" si="50"/>
        <v>-225.15280224026409</v>
      </c>
    </row>
    <row r="210" spans="1:18" x14ac:dyDescent="0.25">
      <c r="A210" s="150">
        <v>11</v>
      </c>
      <c r="B210" s="189">
        <f t="shared" si="45"/>
        <v>44136</v>
      </c>
      <c r="C210" s="213">
        <f t="shared" si="58"/>
        <v>44168</v>
      </c>
      <c r="D210" s="213">
        <f t="shared" si="58"/>
        <v>44189</v>
      </c>
      <c r="E210" s="54" t="s">
        <v>17</v>
      </c>
      <c r="F210" s="150">
        <v>9</v>
      </c>
      <c r="G210" s="192">
        <v>100</v>
      </c>
      <c r="H210" s="193">
        <f t="shared" si="46"/>
        <v>3.32</v>
      </c>
      <c r="I210" s="193">
        <f t="shared" si="57"/>
        <v>1.0507166145491278</v>
      </c>
      <c r="J210" s="194">
        <f t="shared" si="47"/>
        <v>105.07166145491279</v>
      </c>
      <c r="K210" s="201">
        <f>+$G210*H210</f>
        <v>332</v>
      </c>
      <c r="L210" s="200">
        <f t="shared" si="61"/>
        <v>-226.92833854508723</v>
      </c>
      <c r="M210" s="197">
        <f t="shared" si="48"/>
        <v>-7.6058304551879203</v>
      </c>
      <c r="N210" s="198">
        <f t="shared" si="49"/>
        <v>-234.53416900027514</v>
      </c>
      <c r="O210" s="197">
        <v>0</v>
      </c>
      <c r="P210" s="197">
        <v>0</v>
      </c>
      <c r="Q210" s="197">
        <v>0</v>
      </c>
      <c r="R210" s="198">
        <f t="shared" si="50"/>
        <v>-234.53416900027514</v>
      </c>
    </row>
    <row r="211" spans="1:18" s="217" customFormat="1" x14ac:dyDescent="0.25">
      <c r="A211" s="150">
        <v>12</v>
      </c>
      <c r="B211" s="215">
        <f t="shared" si="45"/>
        <v>44166</v>
      </c>
      <c r="C211" s="218">
        <f t="shared" si="58"/>
        <v>44202</v>
      </c>
      <c r="D211" s="218">
        <f t="shared" si="58"/>
        <v>44221</v>
      </c>
      <c r="E211" s="216" t="s">
        <v>17</v>
      </c>
      <c r="F211" s="161">
        <v>9</v>
      </c>
      <c r="G211" s="204">
        <v>105</v>
      </c>
      <c r="H211" s="205">
        <f t="shared" si="46"/>
        <v>3.32</v>
      </c>
      <c r="I211" s="205">
        <f t="shared" si="57"/>
        <v>1.0507166145491278</v>
      </c>
      <c r="J211" s="206">
        <f t="shared" si="47"/>
        <v>110.32524452765841</v>
      </c>
      <c r="K211" s="207">
        <f>+$G211*H211</f>
        <v>348.59999999999997</v>
      </c>
      <c r="L211" s="208">
        <f t="shared" si="61"/>
        <v>-238.27475547234155</v>
      </c>
      <c r="M211" s="206">
        <f t="shared" si="48"/>
        <v>-7.9861219779473167</v>
      </c>
      <c r="N211" s="198">
        <f t="shared" si="49"/>
        <v>-246.26087745028886</v>
      </c>
      <c r="O211" s="197">
        <v>0</v>
      </c>
      <c r="P211" s="197">
        <v>0</v>
      </c>
      <c r="Q211" s="197">
        <v>0</v>
      </c>
      <c r="R211" s="198">
        <f t="shared" si="50"/>
        <v>-246.26087745028886</v>
      </c>
    </row>
    <row r="212" spans="1:18" x14ac:dyDescent="0.25">
      <c r="G212" s="223">
        <f>SUM(G20:G211)</f>
        <v>94887</v>
      </c>
      <c r="H212" s="51"/>
      <c r="I212" s="51"/>
      <c r="J212" s="51">
        <f>SUM(J20:J211)</f>
        <v>99699.347404723085</v>
      </c>
      <c r="K212" s="51">
        <f>SUM(K20:K211)</f>
        <v>315024.83999999985</v>
      </c>
      <c r="L212" s="51">
        <f>SUM(L20:L211)</f>
        <v>-215325.492595277</v>
      </c>
      <c r="M212" s="51">
        <f>SUM(M20:M211)</f>
        <v>-7216.9443440141595</v>
      </c>
      <c r="N212" s="51"/>
      <c r="O212" s="51"/>
      <c r="P212" s="51">
        <f>SUM(P20:P211)</f>
        <v>0</v>
      </c>
      <c r="Q212" s="51"/>
      <c r="R212" s="224">
        <f>SUM(R20:R211)</f>
        <v>-222542.43693929093</v>
      </c>
    </row>
    <row r="213" spans="1:18" x14ac:dyDescent="0.25">
      <c r="P213" s="51"/>
      <c r="Q213" s="51"/>
    </row>
    <row r="220" spans="1:18" x14ac:dyDescent="0.25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7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9B80A187-A76E-40FC-A9DD-756645E67BE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2021-05-21T18:06:23Z</cp:lastPrinted>
  <dcterms:created xsi:type="dcterms:W3CDTF">2009-09-04T18:19:13Z</dcterms:created>
  <dcterms:modified xsi:type="dcterms:W3CDTF">2021-05-24T20:31:30Z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f06838f1-b3e6-44ec-9132-89d348037b5f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uid="50c31824-0780-4910-87d1-eaaffd182d42" value="" /&gt;&lt;element uid="c64218ab-b8d1-40b6-a478-cb8be1e10ecc" value="" /&gt;&lt;/sisl&gt;</vt:lpwstr>
  </property>
</Properties>
</file>